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firstSheet="3" activeTab="3"/>
  </bookViews>
  <sheets>
    <sheet name="computationold" sheetId="1" state="hidden" r:id="rId1"/>
    <sheet name="Basic Data" sheetId="2" state="hidden" r:id="rId2"/>
    <sheet name="SARAL " sheetId="3" state="hidden" r:id="rId3"/>
    <sheet name="computation sheet (2)" sheetId="4" r:id="rId4"/>
    <sheet name="Summary" sheetId="5" state="hidden" r:id="rId5"/>
    <sheet name="computation sheet" sheetId="6" state="hidden" r:id="rId6"/>
    <sheet name="Capital gain" sheetId="7" state="hidden" r:id="rId7"/>
  </sheets>
  <definedNames>
    <definedName name="_xlnm.Print_Area" localSheetId="0">'computationold'!$A$1:$K$205</definedName>
    <definedName name="_xlnm.Print_Area" localSheetId="2">'SARAL '!$B$1:$U$84</definedName>
  </definedNames>
  <calcPr fullCalcOnLoad="1"/>
</workbook>
</file>

<file path=xl/comments4.xml><?xml version="1.0" encoding="utf-8"?>
<comments xmlns="http://schemas.openxmlformats.org/spreadsheetml/2006/main">
  <authors>
    <author>nagaraj a.</author>
  </authors>
  <commentList>
    <comment ref="C5" authorId="0">
      <text>
        <r>
          <rPr>
            <b/>
            <sz val="8"/>
            <rFont val="Tahoma"/>
            <family val="0"/>
          </rPr>
          <t>nagaraj a.:</t>
        </r>
        <r>
          <rPr>
            <sz val="8"/>
            <rFont val="Tahoma"/>
            <family val="0"/>
          </rPr>
          <t xml:space="preserve">
For male or female same slabs only, so we can select male also.
</t>
        </r>
      </text>
    </comment>
    <comment ref="B12" authorId="0">
      <text>
        <r>
          <rPr>
            <b/>
            <sz val="8"/>
            <rFont val="Tahoma"/>
            <family val="2"/>
          </rPr>
          <t>nagaraj a.:</t>
        </r>
        <r>
          <rPr>
            <sz val="8"/>
            <rFont val="Tahoma"/>
            <family val="2"/>
          </rPr>
          <t xml:space="preserve">
It should be negitive value
</t>
        </r>
      </text>
    </comment>
  </commentList>
</comments>
</file>

<file path=xl/comments5.xml><?xml version="1.0" encoding="utf-8"?>
<comments xmlns="http://schemas.openxmlformats.org/spreadsheetml/2006/main">
  <authors>
    <author>Arindam</author>
  </authors>
  <commentList>
    <comment ref="D5" authorId="0">
      <text>
        <r>
          <rPr>
            <b/>
            <sz val="9"/>
            <rFont val="Tahoma"/>
            <family val="2"/>
          </rPr>
          <t>Arindam:</t>
        </r>
        <r>
          <rPr>
            <sz val="9"/>
            <rFont val="Tahoma"/>
            <family val="2"/>
          </rPr>
          <t xml:space="preserve">
From July 2012</t>
        </r>
      </text>
    </comment>
    <comment ref="G6" authorId="0">
      <text>
        <r>
          <rPr>
            <b/>
            <sz val="9"/>
            <rFont val="Tahoma"/>
            <family val="2"/>
          </rPr>
          <t>Arindam:</t>
        </r>
        <r>
          <rPr>
            <sz val="9"/>
            <rFont val="Tahoma"/>
            <family val="2"/>
          </rPr>
          <t xml:space="preserve">
From Oct 2012</t>
        </r>
      </text>
    </comment>
    <comment ref="D7" authorId="0">
      <text>
        <r>
          <rPr>
            <b/>
            <sz val="9"/>
            <rFont val="Tahoma"/>
            <family val="2"/>
          </rPr>
          <t>Arindam:</t>
        </r>
        <r>
          <rPr>
            <sz val="9"/>
            <rFont val="Tahoma"/>
            <family val="2"/>
          </rPr>
          <t xml:space="preserve">
Left in July 2012</t>
        </r>
      </text>
    </comment>
    <comment ref="J10" authorId="0">
      <text>
        <r>
          <rPr>
            <b/>
            <sz val="9"/>
            <rFont val="Tahoma"/>
            <family val="2"/>
          </rPr>
          <t>Arindam:</t>
        </r>
        <r>
          <rPr>
            <sz val="9"/>
            <rFont val="Tahoma"/>
            <family val="2"/>
          </rPr>
          <t xml:space="preserve">
Joined Feb 2012</t>
        </r>
      </text>
    </comment>
  </commentList>
</comments>
</file>

<file path=xl/sharedStrings.xml><?xml version="1.0" encoding="utf-8"?>
<sst xmlns="http://schemas.openxmlformats.org/spreadsheetml/2006/main" count="535" uniqueCount="327">
  <si>
    <t>FORM NO. 2D</t>
  </si>
  <si>
    <t>ITS  -  2D</t>
  </si>
  <si>
    <t>[ See provisio to Rule 12 (1)(b)(III)]</t>
  </si>
  <si>
    <t>[ INCOME TAX RETURN FORM FOR NON CORPORATE ASSESSES OTHER THAN PERSONS CLAIMING EXEMPTION UNDER SECTION II ]</t>
  </si>
  <si>
    <t>TELEPHONE :</t>
  </si>
  <si>
    <t>Name of the Bank</t>
  </si>
  <si>
    <t>Account Number</t>
  </si>
  <si>
    <t>Details of Credit Card</t>
  </si>
  <si>
    <t>INCOME FROM SALARY ( Attach Form No.16 )</t>
  </si>
  <si>
    <t>Rs.</t>
  </si>
  <si>
    <t>INCOME FROM HOUSE PROPERTY</t>
  </si>
  <si>
    <t>CAPITAL GAINS</t>
  </si>
  <si>
    <t>15/9</t>
  </si>
  <si>
    <t>15/12</t>
  </si>
  <si>
    <t>15/3</t>
  </si>
  <si>
    <t>TOTAL</t>
  </si>
  <si>
    <t>INCOME FROM OTHER SOURCES</t>
  </si>
  <si>
    <t>INCOME OF ANY OTHER PERSON TO BE ADDED</t>
  </si>
  <si>
    <t>GROSS TOTAL INCOME (15+16+17+18+19+20)</t>
  </si>
  <si>
    <t>ADD: AGRICULTURAL INCOME (For rate purposes)</t>
  </si>
  <si>
    <t>INCOME CLAIMED TO BE EXEMPT FROM INCOME TAX</t>
  </si>
  <si>
    <t>TAX ON TOTAL INCOME</t>
  </si>
  <si>
    <t>(a) At normal rates</t>
  </si>
  <si>
    <t>(b) At special rates</t>
  </si>
  <si>
    <t>NET TAX PAYABLE</t>
  </si>
  <si>
    <t>LESS : TAX DEDUCTED AT SOURCE</t>
  </si>
  <si>
    <t>LESS : ADVANCE TAX PAID</t>
  </si>
  <si>
    <t>Amount</t>
  </si>
  <si>
    <t>234 A</t>
  </si>
  <si>
    <t>234 B</t>
  </si>
  <si>
    <t>234 C</t>
  </si>
  <si>
    <t>LESS : SELF ASSESSMENT TAX PAID</t>
  </si>
  <si>
    <t>BALANCE TAX : PAYABLE/REFUNDABLE</t>
  </si>
  <si>
    <t>DOCUMENTS ATTACHED WITH THE RETURN</t>
  </si>
  <si>
    <t>VERIFICATION</t>
  </si>
  <si>
    <t>SIGNATURE</t>
  </si>
  <si>
    <t>MICR Code (9Digit)</t>
  </si>
  <si>
    <t>ECS(Y/N)</t>
  </si>
  <si>
    <t>(a) Short Term(u/s111A)</t>
  </si>
  <si>
    <t>(b)Short term (others)</t>
  </si>
  <si>
    <t>Name of the bank branch</t>
  </si>
  <si>
    <t>BSR code of bank branch (7 digit)</t>
  </si>
  <si>
    <t>Date of deposit(DDMMYYY</t>
  </si>
  <si>
    <t>Serial no.of challan</t>
  </si>
  <si>
    <t>Amount(Rs.)</t>
  </si>
  <si>
    <t>Total</t>
  </si>
  <si>
    <t>BSR Code of bank branch(7 digit)</t>
  </si>
  <si>
    <t>Date of deposit(DDMMYY</t>
  </si>
  <si>
    <t>Serial no. of challan</t>
  </si>
  <si>
    <t>Amount(Rs).</t>
  </si>
  <si>
    <t>(a)U/S 88</t>
  </si>
  <si>
    <t>(d)U/S 88D</t>
  </si>
  <si>
    <t>(e)U/S 88E</t>
  </si>
  <si>
    <t>(c)U/S 88C</t>
  </si>
  <si>
    <t>(b)U/S 88B</t>
  </si>
  <si>
    <t>Rs</t>
  </si>
  <si>
    <t>ADD: EDUCATION CESS</t>
  </si>
  <si>
    <t>Particulars Of Bank Account (Mandatory in Refund Cases)</t>
  </si>
  <si>
    <t>[See Proviso to rule 12(1) (b) (iii)]</t>
  </si>
  <si>
    <t>31/3</t>
  </si>
  <si>
    <t>Date Of Birth                           :</t>
  </si>
  <si>
    <t>Issued By    :</t>
  </si>
  <si>
    <t>Section</t>
  </si>
  <si>
    <t>Amount (Rs)</t>
  </si>
  <si>
    <t>(a)</t>
  </si>
  <si>
    <t>(b)</t>
  </si>
  <si>
    <t>(c)</t>
  </si>
  <si>
    <t xml:space="preserve">Income </t>
  </si>
  <si>
    <t>Income Tax</t>
  </si>
  <si>
    <t>Less : Rebate (a+b+c+d+e)</t>
  </si>
  <si>
    <t xml:space="preserve">Date of installment             </t>
  </si>
  <si>
    <t xml:space="preserve">Date        : </t>
  </si>
  <si>
    <t xml:space="preserve">Place       : </t>
  </si>
  <si>
    <t>Date  :</t>
  </si>
  <si>
    <t>Father's name:</t>
  </si>
  <si>
    <t>31-03-</t>
  </si>
  <si>
    <t>01-04-</t>
  </si>
  <si>
    <t>LESS DEDUCTIONS UNDER CHAPTER VI - A : Code (for office use)</t>
  </si>
  <si>
    <t>TOTAL TAX PAYABLE : (28 + 29+30)</t>
  </si>
  <si>
    <t>ADD: SURCHARGE</t>
  </si>
  <si>
    <t>Name:</t>
  </si>
  <si>
    <t>Address:</t>
  </si>
  <si>
    <t>PIN</t>
  </si>
  <si>
    <t>(i)Tax on profits and gains from transactions chargable to security transaction tax[item 26(ii) of schedule C]</t>
  </si>
  <si>
    <t>(ii)Amount of security transaction tax paid (attach from 10DB/10DC)</t>
  </si>
  <si>
    <t>(iii)Rebate U/S88E lower of [(i)/(ii) above]</t>
  </si>
  <si>
    <t xml:space="preserve">Tax Payable </t>
  </si>
  <si>
    <t>TO</t>
  </si>
  <si>
    <t>Address of the Bank Branch</t>
  </si>
  <si>
    <t>Type Of Account (Saving/Current)</t>
  </si>
  <si>
    <t>Credit Card Number           :</t>
  </si>
  <si>
    <t>(i) INCOME FROM BUSINESS OR PROFESSION</t>
  </si>
  <si>
    <t>(c) Long Term</t>
  </si>
  <si>
    <t xml:space="preserve">Upto 15/9 </t>
  </si>
  <si>
    <t xml:space="preserve">16/9 to 15/12  </t>
  </si>
  <si>
    <t xml:space="preserve">16/12 to 15/03 </t>
  </si>
  <si>
    <t xml:space="preserve">16/03 to 31/03 </t>
  </si>
  <si>
    <t>861</t>
  </si>
  <si>
    <t>862</t>
  </si>
  <si>
    <t>(ii) Profits and gains from transactions chargable to  security transaction tax [included in (i) above</t>
  </si>
  <si>
    <t>Add : Interest Payable</t>
  </si>
  <si>
    <t>Permanent Account  Number :</t>
  </si>
  <si>
    <t>Sex: Male/Female                  :</t>
  </si>
  <si>
    <t xml:space="preserve">Resident/Non-Resident/Not </t>
  </si>
  <si>
    <t>Ordinarily Resident :</t>
  </si>
  <si>
    <t xml:space="preserve">Individual/Hindu Undivided Family/Firm/Association </t>
  </si>
  <si>
    <t>of Persons/Local Authority                      :</t>
  </si>
  <si>
    <t xml:space="preserve">                 SARAL</t>
  </si>
  <si>
    <t>Receipt No.  :</t>
  </si>
  <si>
    <t xml:space="preserve">             Seal                                                     Signature of the receiving official</t>
  </si>
  <si>
    <t>ENTER THE DETAILS HERE</t>
  </si>
  <si>
    <t>NAME</t>
  </si>
  <si>
    <t>:</t>
  </si>
  <si>
    <t>FATHERS NAME</t>
  </si>
  <si>
    <t>ADDRESS</t>
  </si>
  <si>
    <t xml:space="preserve">P A N </t>
  </si>
  <si>
    <t>STATUS - INDIVIDUAL/AOP/HUF</t>
  </si>
  <si>
    <t>Resident</t>
  </si>
  <si>
    <t>SEX - M/F</t>
  </si>
  <si>
    <t>LIST OF DOCUMENTS ATTACHED :</t>
  </si>
  <si>
    <t>NAME OF THE BANK</t>
  </si>
  <si>
    <t>ACCOUNT NUMBER</t>
  </si>
  <si>
    <t>INDIVIDUAL</t>
  </si>
  <si>
    <t>2006-07</t>
  </si>
  <si>
    <t>ORIGINAL</t>
  </si>
  <si>
    <t>TELEPHONE NO.</t>
  </si>
  <si>
    <t xml:space="preserve">P I N </t>
  </si>
  <si>
    <t>ADDRESS (Second Line)</t>
  </si>
  <si>
    <t>Bangalore</t>
  </si>
  <si>
    <t>MICR</t>
  </si>
  <si>
    <t xml:space="preserve">BRANCH ADDRESS </t>
  </si>
  <si>
    <t>TYPE OF BANK (sb/ca)</t>
  </si>
  <si>
    <t>(ECS  Y/N)</t>
  </si>
  <si>
    <t>ENTER THE FOLLOWING DATA TO FILL THE SARAL AUTOMATICALLY</t>
  </si>
  <si>
    <t>PARTICULARS</t>
  </si>
  <si>
    <t>Income Details</t>
  </si>
  <si>
    <t>INCOME FROM SALARY</t>
  </si>
  <si>
    <t>(Enter Amount in Col.No.8 of Form 16)</t>
  </si>
  <si>
    <t>80 C</t>
  </si>
  <si>
    <t>80 CCC</t>
  </si>
  <si>
    <t>Deductions Under Chapter VI A</t>
  </si>
  <si>
    <t>80 C (Enter Total Amount in Col.9 (A) (a)</t>
  </si>
  <si>
    <t>80CCC (Enter Total Amount in Col.9 (A) (b)</t>
  </si>
  <si>
    <t>80CCD (Enter Total Amount in Col.9 (A) (c)</t>
  </si>
  <si>
    <t>Other Sections (Enter Total Amount in Col.9 (B)</t>
  </si>
  <si>
    <t>Amount in Rupees</t>
  </si>
  <si>
    <r>
      <t>TOTAL INCOME :</t>
    </r>
    <r>
      <rPr>
        <sz val="10"/>
        <color indexed="10"/>
        <rFont val="Tahoma"/>
        <family val="2"/>
      </rPr>
      <t xml:space="preserve"> (21 - 22)</t>
    </r>
  </si>
  <si>
    <t>Tax on Total Income (Enter Amount in Col.12)</t>
  </si>
  <si>
    <t>Surcharge on Tax (Enter Amount in Col.13)</t>
  </si>
  <si>
    <t>Education Cess on Tax (Enter Amount in Col.14)</t>
  </si>
  <si>
    <t>Rebate u/s 88 as per Coloumn</t>
  </si>
  <si>
    <t>Tax Deducted At Source as Per Col 18</t>
  </si>
  <si>
    <r>
      <t xml:space="preserve">DATE OF BIRTH - </t>
    </r>
    <r>
      <rPr>
        <b/>
        <sz val="10"/>
        <rFont val="Palatino Linotype"/>
        <family val="1"/>
      </rPr>
      <t>(DD-MM-YYYY)</t>
    </r>
  </si>
  <si>
    <t>DATE</t>
  </si>
  <si>
    <t>YEAR</t>
  </si>
  <si>
    <t>SB</t>
  </si>
  <si>
    <t>80D - 80U</t>
  </si>
  <si>
    <t>Ward/Circle/Special Range                  :</t>
  </si>
  <si>
    <t>Income for the previous year               :</t>
  </si>
  <si>
    <t>Assessment Year                               :</t>
  </si>
  <si>
    <t>Return Original or Revised         :</t>
  </si>
  <si>
    <t>Income under the Head Salary</t>
  </si>
  <si>
    <t>Income from House Property</t>
  </si>
  <si>
    <t>Interest paid on Self Occupied Property</t>
  </si>
  <si>
    <t>Less : Deductions Under Chapter VI A</t>
  </si>
  <si>
    <t>Deduction U/S 80C (as per Form 16)</t>
  </si>
  <si>
    <t>Less : TDS</t>
  </si>
  <si>
    <t>Add : Education Cess</t>
  </si>
  <si>
    <t>Add : Interest U/s 234B</t>
  </si>
  <si>
    <t>Add : Interest U/s 234C</t>
  </si>
  <si>
    <t>Net Tax Payable</t>
  </si>
  <si>
    <t>Less : Self assesment tax paid U/s 140A</t>
  </si>
  <si>
    <t>Tax payable or Refundable</t>
  </si>
  <si>
    <t>TDS Deducted</t>
  </si>
  <si>
    <t>% to cover</t>
  </si>
  <si>
    <t>Interest</t>
  </si>
  <si>
    <t>Shortage</t>
  </si>
  <si>
    <t>Income from Business or Profession</t>
  </si>
  <si>
    <t>Add: Surcharge @ 10%</t>
  </si>
  <si>
    <t>DATA SHEET NUMBER</t>
  </si>
  <si>
    <t>140A CHALLAN</t>
  </si>
  <si>
    <t>COMPUTATION OF TOTAL TAXABLE INCOME</t>
  </si>
  <si>
    <t>Income from Other Sources</t>
  </si>
  <si>
    <t>Deduction U/s 80D-80U (as per Form 16)</t>
  </si>
  <si>
    <t>Additional Proof U/s 80C -  LIC</t>
  </si>
  <si>
    <t xml:space="preserve">Consultancy Fee Received </t>
  </si>
  <si>
    <t>CITI BANK</t>
  </si>
  <si>
    <t>MG ROAD</t>
  </si>
  <si>
    <t>Additional Proof U/s 80C -  NSC</t>
  </si>
  <si>
    <t>Additional Proof U/s 80C -  MUTUAL FUND</t>
  </si>
  <si>
    <t>Add : Interest U/s 234A</t>
  </si>
  <si>
    <t>Additional Proof U/s 80G -  DONATION</t>
  </si>
  <si>
    <t>Average tax rate in INDIA</t>
  </si>
  <si>
    <t>115996 / 545740</t>
  </si>
  <si>
    <t>Average tax rate in BELGIUM</t>
  </si>
  <si>
    <t>43498 / 137285</t>
  </si>
  <si>
    <t>Least of the above Average tax rate will be claimed</t>
  </si>
  <si>
    <t>as Relief U/S 90/91</t>
  </si>
  <si>
    <t>137285 * 21.25</t>
  </si>
  <si>
    <t>Less: Releif U/s 90/91 (Refer Note 1)</t>
  </si>
  <si>
    <t>Note 1</t>
  </si>
  <si>
    <t>Less: Relief U/s 89 (1)/90/91</t>
  </si>
  <si>
    <t>Y</t>
  </si>
  <si>
    <t>Additional Proof U/s 80E- EDCUATION LOAN INT</t>
  </si>
  <si>
    <t>Gross Annual Value</t>
  </si>
  <si>
    <t>Less : Municipal tax paid</t>
  </si>
  <si>
    <t>Net Annual Value</t>
  </si>
  <si>
    <t>30% of Net annual value</t>
  </si>
  <si>
    <t>m</t>
  </si>
  <si>
    <t>PAN NO.            :</t>
  </si>
  <si>
    <t>Sex                    :</t>
  </si>
  <si>
    <t>Assessee Name  :</t>
  </si>
  <si>
    <t>f</t>
  </si>
  <si>
    <t>MONTH/DATE/YEAR</t>
  </si>
  <si>
    <t>Tax paid before</t>
  </si>
  <si>
    <t>% of total TDS deducted</t>
  </si>
  <si>
    <t>filing</t>
  </si>
  <si>
    <t>Salary Income from</t>
  </si>
  <si>
    <t>RENT RECEIVED PER ANNUM</t>
  </si>
  <si>
    <t>Less : Deductions U/S 24</t>
  </si>
  <si>
    <t>Interest Paid on Housing Loan - Letout Property</t>
  </si>
  <si>
    <t>Other Income</t>
  </si>
  <si>
    <t>FD INTEREST - RECEIVED</t>
  </si>
  <si>
    <t>SB INTEREST</t>
  </si>
  <si>
    <t>Net Sale Consideration - Equity Shares u/s 111A</t>
  </si>
  <si>
    <t>Less : Cost of Acquisition - (ESOP)</t>
  </si>
  <si>
    <t>Long Term Capital Gain</t>
  </si>
  <si>
    <t>Net Sale Consideration - Equity Shares</t>
  </si>
  <si>
    <t>Less : Cost of Aquisition</t>
  </si>
  <si>
    <t>LTCG - (20% Tax)</t>
  </si>
  <si>
    <t>Short Term Capital Gain - Other than 111A</t>
  </si>
  <si>
    <t>Less : Cost of Acquisition</t>
  </si>
  <si>
    <t>Net Sale Consideration</t>
  </si>
  <si>
    <t>Short Term Capital Gain u/s 111A</t>
  </si>
  <si>
    <t>Total Taxable Income excluding LTCG/STCG</t>
  </si>
  <si>
    <t>Total Taxable Income including LTCG/STCG</t>
  </si>
  <si>
    <t>Gross Total Income excluding Capital Gain (Spl. Rate)</t>
  </si>
  <si>
    <t>Tax Payable - Normal</t>
  </si>
  <si>
    <t>STCG - (15% Tax)</t>
  </si>
  <si>
    <t>Tax Payable - Short Term Capital Gain @ 15%</t>
  </si>
  <si>
    <t>ABVPV3252F</t>
  </si>
  <si>
    <t>MANOJ KUMAR VALLBHANENI</t>
  </si>
  <si>
    <t>Salary Income from HP</t>
  </si>
  <si>
    <t>M</t>
  </si>
  <si>
    <t>Tax Payable - Long Term Capital Gain @ 20%</t>
  </si>
  <si>
    <t>A.Y. - 2011-12</t>
  </si>
  <si>
    <t>F.Y. - 2010-11</t>
  </si>
  <si>
    <t xml:space="preserve">  </t>
  </si>
  <si>
    <t>1st</t>
  </si>
  <si>
    <t>2nd</t>
  </si>
  <si>
    <t>BP</t>
  </si>
  <si>
    <t>HRA</t>
  </si>
  <si>
    <t>Rent Paid</t>
  </si>
  <si>
    <t>HRA CALCULATION</t>
  </si>
  <si>
    <t>HRA Received</t>
  </si>
  <si>
    <t>40% Basic Pay</t>
  </si>
  <si>
    <t>Excess of rent paid over 10% of Salary</t>
  </si>
  <si>
    <t xml:space="preserve">PAN NO.            : </t>
  </si>
  <si>
    <t xml:space="preserve">Salary Income from </t>
  </si>
  <si>
    <t>H R A</t>
  </si>
  <si>
    <t>Deduction U/S 80C (as per Form 16 - 1)</t>
  </si>
  <si>
    <t>Deduction U/S 80C (as per Form 16 - 2)</t>
  </si>
  <si>
    <t xml:space="preserve">Additional Proof U/s 80C - </t>
  </si>
  <si>
    <t>Details to pay tax online</t>
  </si>
  <si>
    <r>
      <t>www.incometaxindia.gov.in</t>
    </r>
    <r>
      <rPr>
        <sz val="10"/>
        <rFont val="Arial"/>
        <family val="2"/>
      </rPr>
      <t xml:space="preserve">  - Pay Tax Online</t>
    </r>
  </si>
  <si>
    <t>Challan No. 280      -     Income Tax other than companies</t>
  </si>
  <si>
    <t>Income Tax Amount</t>
  </si>
  <si>
    <t>Education Cess Amount</t>
  </si>
  <si>
    <t>Additional Proof U/s 80CCF</t>
  </si>
  <si>
    <r>
      <rPr>
        <b/>
        <sz val="12"/>
        <rFont val="Arial Unicode MS"/>
        <family val="2"/>
      </rPr>
      <t>F.Y.</t>
    </r>
    <r>
      <rPr>
        <sz val="10"/>
        <rFont val="Arial Unicode MS"/>
        <family val="2"/>
      </rPr>
      <t xml:space="preserve"> - 2012-13 &amp; </t>
    </r>
    <r>
      <rPr>
        <b/>
        <sz val="12"/>
        <rFont val="Arial Unicode MS"/>
        <family val="2"/>
      </rPr>
      <t>A.Y.</t>
    </r>
    <r>
      <rPr>
        <sz val="10"/>
        <rFont val="Arial Unicode MS"/>
        <family val="2"/>
      </rPr>
      <t xml:space="preserve"> - 2013-14</t>
    </r>
  </si>
  <si>
    <t>Amit Patil</t>
  </si>
  <si>
    <t>Net Salary after TDS is deducted PM</t>
  </si>
  <si>
    <t>Himadri Roy</t>
  </si>
  <si>
    <t>Sudeshna Datta</t>
  </si>
  <si>
    <t>TDS</t>
  </si>
  <si>
    <t>Rima Sen</t>
  </si>
  <si>
    <t>Arindam Chandra</t>
  </si>
  <si>
    <t>Employee</t>
  </si>
  <si>
    <t>Sl</t>
  </si>
  <si>
    <t>Gross</t>
  </si>
  <si>
    <t>Apr - Sept'12</t>
  </si>
  <si>
    <t>Net</t>
  </si>
  <si>
    <t>Jan - Mar'13</t>
  </si>
  <si>
    <t>Oct - Dec'12</t>
  </si>
  <si>
    <t>FY 2012-13</t>
  </si>
  <si>
    <t>Additional Proof U/s 80E- EDUCATION LOAN INT</t>
  </si>
  <si>
    <t>Manmeet Gill</t>
  </si>
  <si>
    <t>PAN</t>
  </si>
  <si>
    <t>Shiladitya Som</t>
  </si>
  <si>
    <t>Please advise on how to refund this.</t>
  </si>
  <si>
    <t>AY - 2013-14    - Self Assesment Tax (300)</t>
  </si>
  <si>
    <t xml:space="preserve">Less Allowances exempt u/s 10 </t>
  </si>
  <si>
    <t>Date of Birth</t>
  </si>
  <si>
    <t xml:space="preserve"> </t>
  </si>
  <si>
    <r>
      <rPr>
        <b/>
        <sz val="11"/>
        <rFont val="Calibri"/>
        <family val="2"/>
      </rPr>
      <t>F.Y.</t>
    </r>
    <r>
      <rPr>
        <sz val="11"/>
        <rFont val="Calibri"/>
        <family val="2"/>
      </rPr>
      <t xml:space="preserve"> - 2012-13 &amp; </t>
    </r>
    <r>
      <rPr>
        <b/>
        <sz val="11"/>
        <rFont val="Calibri"/>
        <family val="2"/>
      </rPr>
      <t>A.Y.</t>
    </r>
    <r>
      <rPr>
        <sz val="11"/>
        <rFont val="Calibri"/>
        <family val="2"/>
      </rPr>
      <t xml:space="preserve"> - 2013-14</t>
    </r>
  </si>
  <si>
    <t>Additional Proof U/s 80CCG</t>
  </si>
  <si>
    <t>Tax</t>
  </si>
  <si>
    <t>Online</t>
  </si>
  <si>
    <t xml:space="preserve">!) www.incometaxindiaefiling.govt.in  </t>
  </si>
  <si>
    <t>3) Challan No. 280</t>
  </si>
  <si>
    <t>Guidelines for Pay tax on line</t>
  </si>
  <si>
    <t>COMPUTATION OF TOTAL TAXABLE LIABILITY</t>
  </si>
  <si>
    <t>Net Salary after Deduction of TDS</t>
  </si>
  <si>
    <t>Date of Birth                 :</t>
  </si>
  <si>
    <t xml:space="preserve">PAN No                            :  </t>
  </si>
  <si>
    <t>Salary Income from Otherthan HP</t>
  </si>
  <si>
    <t>Note :</t>
  </si>
  <si>
    <t>FD Interest Received</t>
  </si>
  <si>
    <t>SB Interest</t>
  </si>
  <si>
    <t>2)   e Pay tax online</t>
  </si>
  <si>
    <t xml:space="preserve">4)   AY 2013-14   </t>
  </si>
  <si>
    <t>6)    Otherthan Company</t>
  </si>
  <si>
    <t>5)  Self Assesment Tax (300)</t>
  </si>
  <si>
    <t>1 ) we should enter the Amounts in only in light dark color cells</t>
  </si>
  <si>
    <t>Sex    :</t>
  </si>
  <si>
    <t>2)  We Should not enter the amounts in thick  cells because its mingle with formula.</t>
  </si>
  <si>
    <t>Cost of acquisition</t>
  </si>
  <si>
    <t>Rate( Rs in Dollars)</t>
  </si>
  <si>
    <t>Shares</t>
  </si>
  <si>
    <t>Share value</t>
  </si>
  <si>
    <t>Doller rate</t>
  </si>
  <si>
    <t>Amount in RS</t>
  </si>
  <si>
    <t xml:space="preserve">Sale </t>
  </si>
  <si>
    <t>Short term Capital Gain</t>
  </si>
  <si>
    <t>Capital Gain Summary sheet</t>
  </si>
  <si>
    <t>narayan</t>
  </si>
  <si>
    <t>For further clarification just mail : nagarajnayakar@gmail.com</t>
  </si>
</sst>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quot;₹&quot;\ * #,##0.00_ ;_ &quot;₹&quot;\ * \-#,##0.00_ ;_ &quot;₹&quot;\ * &quot;-&quot;??_ ;_ @_ "/>
    <numFmt numFmtId="178" formatCode="_(* #,##0_);_(* \(#,##0\);_(* &quot;-&quot;??_);_(@_)"/>
    <numFmt numFmtId="179" formatCode="_(* #,##0.0_);_(* \(#,##0.0\);_(* &quot;-&quot;??_);_(@_)"/>
    <numFmt numFmtId="180" formatCode="0.0"/>
    <numFmt numFmtId="181" formatCode="_(* #,##0.000_);_(* \(#,##0.000\);_(* &quot;-&quot;??_);_(@_)"/>
    <numFmt numFmtId="182" formatCode="_(* #,##0.0000_);_(* \(#,##0.0000\);_(* &quot;-&quot;??_);_(@_)"/>
    <numFmt numFmtId="183" formatCode="_(* #,##0.00000_);_(* \(#,##0.00000\);_(* &quot;-&quot;??_);_(@_)"/>
    <numFmt numFmtId="184" formatCode="_(* #,##0.000000_);_(* \(#,##0.000000\);_(* &quot;-&quot;??_);_(@_)"/>
    <numFmt numFmtId="185" formatCode="_(* #,##0.0000000_);_(* \(#,##0.0000000\);_(* &quot;-&quot;??_);_(@_)"/>
    <numFmt numFmtId="186" formatCode="_(* #,##0.00000000_);_(* \(#,##0.00000000\);_(* &quot;-&quot;??_);_(@_)"/>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 #,##0_-;\-* #,##0_-;_-* &quot;-&quot;_-;_-@_-"/>
    <numFmt numFmtId="193" formatCode="_-&quot;£&quot;* #,##0.00_-;\-&quot;£&quot;* #,##0.00_-;_-&quot;£&quot;* &quot;-&quot;??_-;_-@_-"/>
    <numFmt numFmtId="194" formatCode="_-* #,##0.00_-;\-* #,##0.00_-;_-* &quot;-&quot;??_-;_-@_-"/>
    <numFmt numFmtId="195" formatCode="&quot;Fr.&quot;\ #,##0;&quot;Fr.&quot;\ \-#,##0"/>
    <numFmt numFmtId="196" formatCode="&quot;Fr.&quot;\ #,##0;[Red]&quot;Fr.&quot;\ \-#,##0"/>
    <numFmt numFmtId="197" formatCode="&quot;Fr.&quot;\ #,##0.00;&quot;Fr.&quot;\ \-#,##0.00"/>
    <numFmt numFmtId="198" formatCode="&quot;Fr.&quot;\ #,##0.00;[Red]&quot;Fr.&quot;\ \-#,##0.00"/>
    <numFmt numFmtId="199" formatCode="_ &quot;Fr.&quot;\ * #,##0_ ;_ &quot;Fr.&quot;\ * \-#,##0_ ;_ &quot;Fr.&quot;\ * &quot;-&quot;_ ;_ @_ "/>
    <numFmt numFmtId="200" formatCode="_ &quot;Fr.&quot;\ * #,##0.00_ ;_ &quot;Fr.&quot;\ * \-#,##0.00_ ;_ &quot;Fr.&quot;\ * &quot;-&quot;??_ ;_ @_ "/>
    <numFmt numFmtId="201" formatCode="_ * #,##0.0_ ;_ * \-#,##0.0_ ;_ * &quot;-&quot;??_ ;_ @_ "/>
    <numFmt numFmtId="202" formatCode="_ * #,##0_ ;_ * \-#,##0_ ;_ * &quot;-&quot;??_ ;_ @_ "/>
    <numFmt numFmtId="203" formatCode="0.00;[Red]0.00"/>
    <numFmt numFmtId="204" formatCode="0.00_ ;\-0.00\ "/>
    <numFmt numFmtId="205" formatCode="_-* #,##0.0_-;\-* #,##0.0_-;_-* &quot;-&quot;??_-;_-@_-"/>
    <numFmt numFmtId="206" formatCode="_-* #,##0_-;\-* #,##0_-;_-* &quot;-&quot;??_-;_-@_-"/>
    <numFmt numFmtId="207" formatCode="d\-mmm\-yyyy"/>
    <numFmt numFmtId="208" formatCode="0.00_);\(0.00\)"/>
    <numFmt numFmtId="209" formatCode="_(* #,##0.0_);_(* \(#,##0.0\);_(* &quot;-&quot;?_);_(@_)"/>
    <numFmt numFmtId="210" formatCode="_ * #,##0.000_ ;_ * \-#,##0.000_ ;_ * &quot;-&quot;??_ ;_ @_ "/>
    <numFmt numFmtId="211" formatCode="0.00000"/>
    <numFmt numFmtId="212" formatCode="0.0000"/>
    <numFmt numFmtId="213" formatCode="0.000"/>
    <numFmt numFmtId="214" formatCode="0.0;[Red]0.0"/>
    <numFmt numFmtId="215" formatCode="0;[Red]0"/>
    <numFmt numFmtId="216" formatCode="00000"/>
    <numFmt numFmtId="217" formatCode="#,##0.0"/>
    <numFmt numFmtId="218" formatCode="0.0%"/>
    <numFmt numFmtId="219" formatCode="0.000%"/>
    <numFmt numFmtId="220" formatCode="0.0000%"/>
    <numFmt numFmtId="221" formatCode="dd/\ mm/\ yyyy"/>
    <numFmt numFmtId="222" formatCode="[$-409]h:mm:ss\ AM/PM"/>
    <numFmt numFmtId="223" formatCode="mmmm"/>
    <numFmt numFmtId="224" formatCode="&quot;Yes&quot;;&quot;Yes&quot;;&quot;No&quot;"/>
    <numFmt numFmtId="225" formatCode="&quot;True&quot;;&quot;True&quot;;&quot;False&quot;"/>
    <numFmt numFmtId="226" formatCode="&quot;On&quot;;&quot;On&quot;;&quot;Off&quot;"/>
    <numFmt numFmtId="227" formatCode="[$€-2]\ #,##0.00_);[Red]\([$€-2]\ #,##0.00\)"/>
  </numFmts>
  <fonts count="84">
    <font>
      <sz val="10"/>
      <name val="Arial"/>
      <family val="0"/>
    </font>
    <font>
      <sz val="10"/>
      <name val="Tahoma"/>
      <family val="2"/>
    </font>
    <font>
      <b/>
      <sz val="10"/>
      <name val="Tahoma"/>
      <family val="2"/>
    </font>
    <font>
      <b/>
      <sz val="26"/>
      <name val="Tahoma"/>
      <family val="2"/>
    </font>
    <font>
      <b/>
      <sz val="9"/>
      <name val="Tahoma"/>
      <family val="2"/>
    </font>
    <font>
      <b/>
      <u val="single"/>
      <sz val="10"/>
      <name val="Tahoma"/>
      <family val="2"/>
    </font>
    <font>
      <b/>
      <sz val="10"/>
      <color indexed="9"/>
      <name val="Tahoma"/>
      <family val="2"/>
    </font>
    <font>
      <b/>
      <sz val="14"/>
      <name val="Tahoma"/>
      <family val="2"/>
    </font>
    <font>
      <sz val="10"/>
      <name val="Palatino Linotype"/>
      <family val="1"/>
    </font>
    <font>
      <b/>
      <sz val="10"/>
      <name val="Palatino Linotype"/>
      <family val="1"/>
    </font>
    <font>
      <b/>
      <sz val="10"/>
      <name val="Arial"/>
      <family val="2"/>
    </font>
    <font>
      <i/>
      <u val="single"/>
      <sz val="10"/>
      <color indexed="12"/>
      <name val="Palatino Linotype"/>
      <family val="1"/>
    </font>
    <font>
      <i/>
      <u val="single"/>
      <sz val="10"/>
      <color indexed="12"/>
      <name val="Arial"/>
      <family val="2"/>
    </font>
    <font>
      <b/>
      <sz val="10"/>
      <color indexed="12"/>
      <name val="Palatino Linotype"/>
      <family val="1"/>
    </font>
    <font>
      <b/>
      <u val="single"/>
      <sz val="10"/>
      <name val="Arial"/>
      <family val="2"/>
    </font>
    <font>
      <b/>
      <sz val="10"/>
      <color indexed="10"/>
      <name val="Tahoma"/>
      <family val="2"/>
    </font>
    <font>
      <sz val="10"/>
      <color indexed="10"/>
      <name val="Tahoma"/>
      <family val="2"/>
    </font>
    <font>
      <b/>
      <sz val="10"/>
      <color indexed="10"/>
      <name val="Arial"/>
      <family val="2"/>
    </font>
    <font>
      <b/>
      <sz val="12"/>
      <name val="Arial"/>
      <family val="2"/>
    </font>
    <font>
      <b/>
      <u val="single"/>
      <sz val="10"/>
      <name val="Arial Unicode MS"/>
      <family val="2"/>
    </font>
    <font>
      <sz val="10"/>
      <name val="Arial Unicode MS"/>
      <family val="2"/>
    </font>
    <font>
      <b/>
      <sz val="10"/>
      <name val="Arial Unicode MS"/>
      <family val="2"/>
    </font>
    <font>
      <sz val="8"/>
      <name val="Arial Unicode MS"/>
      <family val="2"/>
    </font>
    <font>
      <b/>
      <sz val="12"/>
      <name val="Arial Unicode MS"/>
      <family val="2"/>
    </font>
    <font>
      <b/>
      <u val="single"/>
      <sz val="28"/>
      <color indexed="9"/>
      <name val="Arial Unicode MS"/>
      <family val="2"/>
    </font>
    <font>
      <sz val="10"/>
      <color indexed="9"/>
      <name val="Arial Unicode MS"/>
      <family val="2"/>
    </font>
    <font>
      <b/>
      <sz val="8"/>
      <name val="Arial Unicode MS"/>
      <family val="2"/>
    </font>
    <font>
      <sz val="9"/>
      <name val="Tahoma"/>
      <family val="2"/>
    </font>
    <font>
      <sz val="8"/>
      <name val="Tahoma"/>
      <family val="0"/>
    </font>
    <font>
      <b/>
      <sz val="8"/>
      <name val="Tahoma"/>
      <family val="0"/>
    </font>
    <font>
      <sz val="11"/>
      <name val="Calibri"/>
      <family val="2"/>
    </font>
    <font>
      <b/>
      <sz val="11"/>
      <name val="Calibri"/>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u val="single"/>
      <sz val="11"/>
      <color indexed="9"/>
      <name val="Calibri"/>
      <family val="2"/>
    </font>
    <font>
      <sz val="10"/>
      <name val="Calibri"/>
      <family val="2"/>
    </font>
    <font>
      <b/>
      <sz val="10"/>
      <color indexed="10"/>
      <name val="Calibri"/>
      <family val="2"/>
    </font>
    <font>
      <sz val="10"/>
      <color indexed="10"/>
      <name val="Calibri"/>
      <family val="2"/>
    </font>
    <font>
      <b/>
      <u val="single"/>
      <sz val="11"/>
      <name val="Calibri"/>
      <family val="2"/>
    </font>
    <font>
      <sz val="16"/>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u val="single"/>
      <sz val="11"/>
      <color theme="0"/>
      <name val="Calibri"/>
      <family val="2"/>
    </font>
    <font>
      <b/>
      <sz val="10"/>
      <color rgb="FFFF0000"/>
      <name val="Calibri"/>
      <family val="2"/>
    </font>
    <font>
      <sz val="10"/>
      <color rgb="FFFF0000"/>
      <name val="Calibri"/>
      <family val="2"/>
    </font>
    <font>
      <sz val="16"/>
      <color theme="0"/>
      <name val="Calibri"/>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
      <patternFill patternType="solid">
        <fgColor indexed="40"/>
        <bgColor indexed="64"/>
      </patternFill>
    </fill>
    <fill>
      <patternFill patternType="solid">
        <fgColor indexed="10"/>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indexed="43"/>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style="thin"/>
      <bottom style="thin"/>
    </border>
    <border>
      <left style="thick"/>
      <right>
        <color indexed="63"/>
      </right>
      <top>
        <color indexed="63"/>
      </top>
      <bottom style="thick"/>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medium"/>
    </border>
    <border>
      <left style="medium"/>
      <right>
        <color indexed="63"/>
      </right>
      <top style="thin"/>
      <bottom style="thin"/>
    </border>
    <border>
      <left style="thin"/>
      <right style="medium"/>
      <top style="thin"/>
      <bottom>
        <color indexed="63"/>
      </bottom>
    </border>
    <border>
      <left>
        <color indexed="63"/>
      </left>
      <right style="medium"/>
      <top>
        <color indexed="63"/>
      </top>
      <bottom style="thin"/>
    </border>
    <border>
      <left style="thin"/>
      <right>
        <color indexed="63"/>
      </right>
      <top style="thin"/>
      <bottom style="medium"/>
    </border>
    <border>
      <left>
        <color indexed="63"/>
      </left>
      <right>
        <color indexed="63"/>
      </right>
      <top style="medium"/>
      <bottom style="medium"/>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style="thin"/>
      <right style="thin"/>
      <top style="medium"/>
      <bottom style="medium"/>
    </border>
    <border>
      <left style="thin"/>
      <right style="thin"/>
      <top style="thin"/>
      <bottom>
        <color indexed="63"/>
      </bottom>
    </border>
    <border>
      <left>
        <color indexed="63"/>
      </left>
      <right style="thin"/>
      <top style="thin"/>
      <bottom style="medium"/>
    </border>
    <border>
      <left>
        <color indexed="63"/>
      </left>
      <right>
        <color indexed="63"/>
      </right>
      <top style="thin"/>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color indexed="63"/>
      </left>
      <right style="thick"/>
      <top style="thin"/>
      <bottom style="thin"/>
    </border>
    <border>
      <left style="thin"/>
      <right>
        <color indexed="63"/>
      </right>
      <top style="medium"/>
      <bottom style="thin"/>
    </border>
    <border>
      <left style="thin"/>
      <right style="medium"/>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59" fillId="0" borderId="0">
      <alignment/>
      <protection/>
    </xf>
    <xf numFmtId="0" fontId="1"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490">
    <xf numFmtId="0" fontId="0" fillId="0" borderId="0" xfId="0" applyAlignment="1">
      <alignment/>
    </xf>
    <xf numFmtId="0" fontId="1" fillId="0" borderId="0" xfId="59" applyFont="1">
      <alignment/>
      <protection/>
    </xf>
    <xf numFmtId="0" fontId="1" fillId="0" borderId="10" xfId="59" applyFont="1" applyBorder="1">
      <alignment/>
      <protection/>
    </xf>
    <xf numFmtId="0" fontId="1" fillId="0" borderId="11" xfId="59" applyFont="1" applyBorder="1">
      <alignment/>
      <protection/>
    </xf>
    <xf numFmtId="0" fontId="1" fillId="0" borderId="0" xfId="59" applyFont="1" applyBorder="1">
      <alignment/>
      <protection/>
    </xf>
    <xf numFmtId="0" fontId="2" fillId="0" borderId="12" xfId="59" applyFont="1" applyBorder="1">
      <alignment/>
      <protection/>
    </xf>
    <xf numFmtId="43" fontId="1" fillId="0" borderId="0" xfId="59" applyNumberFormat="1" applyFont="1">
      <alignment/>
      <protection/>
    </xf>
    <xf numFmtId="0" fontId="1" fillId="0" borderId="0" xfId="59" applyFont="1" applyBorder="1" applyAlignment="1">
      <alignment horizontal="center"/>
      <protection/>
    </xf>
    <xf numFmtId="0" fontId="1" fillId="0" borderId="13" xfId="59" applyFont="1" applyBorder="1">
      <alignment/>
      <protection/>
    </xf>
    <xf numFmtId="49" fontId="1" fillId="0" borderId="0" xfId="59" applyNumberFormat="1" applyFont="1" applyBorder="1" applyAlignment="1">
      <alignment horizontal="right"/>
      <protection/>
    </xf>
    <xf numFmtId="0" fontId="2" fillId="0" borderId="0" xfId="59" applyFont="1" applyBorder="1" applyAlignment="1">
      <alignment horizontal="center"/>
      <protection/>
    </xf>
    <xf numFmtId="0" fontId="6" fillId="33" borderId="0" xfId="59" applyFont="1" applyFill="1" applyBorder="1">
      <alignment/>
      <protection/>
    </xf>
    <xf numFmtId="0" fontId="6" fillId="33" borderId="0" xfId="59" applyFont="1" applyFill="1" applyBorder="1" applyAlignment="1">
      <alignment horizontal="center"/>
      <protection/>
    </xf>
    <xf numFmtId="0" fontId="1" fillId="0" borderId="0" xfId="59" applyFont="1" applyBorder="1" applyAlignment="1">
      <alignment/>
      <protection/>
    </xf>
    <xf numFmtId="207" fontId="2" fillId="0" borderId="0" xfId="59" applyNumberFormat="1" applyFont="1" applyFill="1" applyBorder="1">
      <alignment/>
      <protection/>
    </xf>
    <xf numFmtId="0" fontId="2" fillId="0" borderId="0" xfId="59" applyFont="1" applyBorder="1" applyAlignment="1">
      <alignment horizontal="right"/>
      <protection/>
    </xf>
    <xf numFmtId="41" fontId="6" fillId="33" borderId="0" xfId="59" applyNumberFormat="1" applyFont="1" applyFill="1" applyBorder="1">
      <alignment/>
      <protection/>
    </xf>
    <xf numFmtId="0" fontId="2" fillId="0" borderId="14" xfId="59" applyFont="1" applyBorder="1">
      <alignment/>
      <protection/>
    </xf>
    <xf numFmtId="0" fontId="1" fillId="0" borderId="15" xfId="59" applyFont="1" applyBorder="1">
      <alignment/>
      <protection/>
    </xf>
    <xf numFmtId="0" fontId="1" fillId="0" borderId="11" xfId="59" applyFont="1" applyBorder="1" applyAlignment="1">
      <alignment vertical="top"/>
      <protection/>
    </xf>
    <xf numFmtId="0" fontId="2" fillId="0" borderId="16" xfId="59" applyFont="1" applyBorder="1" applyAlignment="1">
      <alignment horizontal="left"/>
      <protection/>
    </xf>
    <xf numFmtId="0" fontId="6" fillId="33" borderId="17" xfId="59" applyFont="1" applyFill="1" applyBorder="1" applyAlignment="1">
      <alignment horizontal="center"/>
      <protection/>
    </xf>
    <xf numFmtId="0" fontId="1" fillId="0" borderId="16" xfId="59" applyFont="1" applyBorder="1" applyAlignment="1">
      <alignment horizontal="left"/>
      <protection/>
    </xf>
    <xf numFmtId="0" fontId="1" fillId="0" borderId="18" xfId="59" applyFont="1" applyBorder="1" applyAlignment="1">
      <alignment horizontal="center"/>
      <protection/>
    </xf>
    <xf numFmtId="0" fontId="1" fillId="0" borderId="13" xfId="59" applyFont="1" applyBorder="1" applyAlignment="1">
      <alignment horizontal="center"/>
      <protection/>
    </xf>
    <xf numFmtId="0" fontId="1" fillId="0" borderId="19" xfId="59" applyFont="1" applyBorder="1" applyAlignment="1">
      <alignment horizontal="center"/>
      <protection/>
    </xf>
    <xf numFmtId="0" fontId="1" fillId="0" borderId="13" xfId="59" applyFont="1" applyBorder="1" applyAlignment="1">
      <alignment horizontal="left"/>
      <protection/>
    </xf>
    <xf numFmtId="0" fontId="1" fillId="0" borderId="20" xfId="59" applyFont="1" applyBorder="1" applyAlignment="1">
      <alignment horizontal="center"/>
      <protection/>
    </xf>
    <xf numFmtId="0" fontId="1" fillId="0" borderId="21" xfId="59" applyFont="1" applyBorder="1" applyAlignment="1">
      <alignment horizontal="center"/>
      <protection/>
    </xf>
    <xf numFmtId="0" fontId="1" fillId="0" borderId="22" xfId="59" applyFont="1" applyBorder="1" applyAlignment="1">
      <alignment horizontal="center"/>
      <protection/>
    </xf>
    <xf numFmtId="0" fontId="1" fillId="0" borderId="23" xfId="59" applyFont="1" applyBorder="1" applyAlignment="1">
      <alignment horizontal="center"/>
      <protection/>
    </xf>
    <xf numFmtId="0" fontId="1" fillId="0" borderId="0" xfId="59" applyFont="1" applyBorder="1" applyAlignment="1">
      <alignment horizontal="left"/>
      <protection/>
    </xf>
    <xf numFmtId="0" fontId="1" fillId="0" borderId="13" xfId="59" applyFont="1" applyFill="1" applyBorder="1" applyAlignment="1">
      <alignment horizontal="center"/>
      <protection/>
    </xf>
    <xf numFmtId="0" fontId="1" fillId="0" borderId="24" xfId="59" applyFont="1" applyBorder="1" applyAlignment="1">
      <alignment horizontal="center"/>
      <protection/>
    </xf>
    <xf numFmtId="0" fontId="3" fillId="0" borderId="14" xfId="59" applyFont="1" applyBorder="1" applyAlignment="1">
      <alignment horizontal="center"/>
      <protection/>
    </xf>
    <xf numFmtId="0" fontId="1" fillId="0" borderId="25" xfId="59" applyFont="1" applyBorder="1" applyAlignment="1">
      <alignment/>
      <protection/>
    </xf>
    <xf numFmtId="0" fontId="1" fillId="0" borderId="20" xfId="59" applyFont="1" applyBorder="1" applyAlignment="1">
      <alignment horizontal="left"/>
      <protection/>
    </xf>
    <xf numFmtId="0" fontId="1" fillId="0" borderId="19" xfId="59" applyFont="1" applyBorder="1" applyAlignment="1">
      <alignment horizontal="left"/>
      <protection/>
    </xf>
    <xf numFmtId="0" fontId="1" fillId="0" borderId="12" xfId="59" applyFont="1" applyBorder="1">
      <alignment/>
      <protection/>
    </xf>
    <xf numFmtId="0" fontId="1" fillId="0" borderId="20" xfId="59" applyFont="1" applyBorder="1" applyAlignment="1">
      <alignment/>
      <protection/>
    </xf>
    <xf numFmtId="0" fontId="1" fillId="0" borderId="16" xfId="59" applyFont="1" applyFill="1" applyBorder="1">
      <alignment/>
      <protection/>
    </xf>
    <xf numFmtId="0" fontId="1" fillId="0" borderId="22" xfId="59" applyFont="1" applyFill="1" applyBorder="1">
      <alignment/>
      <protection/>
    </xf>
    <xf numFmtId="0" fontId="1" fillId="0" borderId="20" xfId="59" applyFont="1" applyFill="1" applyBorder="1">
      <alignment/>
      <protection/>
    </xf>
    <xf numFmtId="41" fontId="6" fillId="33" borderId="0" xfId="59" applyNumberFormat="1" applyFont="1" applyFill="1" applyBorder="1" applyAlignment="1">
      <alignment/>
      <protection/>
    </xf>
    <xf numFmtId="41" fontId="1" fillId="0" borderId="0" xfId="59" applyNumberFormat="1" applyFont="1" applyFill="1" applyBorder="1" applyAlignment="1">
      <alignment horizontal="left"/>
      <protection/>
    </xf>
    <xf numFmtId="41" fontId="1" fillId="0" borderId="0" xfId="59" applyNumberFormat="1" applyFont="1" applyFill="1" applyBorder="1">
      <alignment/>
      <protection/>
    </xf>
    <xf numFmtId="0" fontId="0" fillId="0" borderId="13" xfId="0" applyBorder="1" applyAlignment="1">
      <alignment horizontal="left"/>
    </xf>
    <xf numFmtId="0" fontId="1" fillId="0" borderId="16" xfId="59" applyFont="1" applyBorder="1" applyAlignment="1">
      <alignment/>
      <protection/>
    </xf>
    <xf numFmtId="0" fontId="0" fillId="0" borderId="16" xfId="0" applyBorder="1" applyAlignment="1">
      <alignment/>
    </xf>
    <xf numFmtId="41" fontId="6" fillId="33" borderId="20" xfId="59" applyNumberFormat="1" applyFont="1" applyFill="1" applyBorder="1" applyAlignment="1">
      <alignment horizontal="center"/>
      <protection/>
    </xf>
    <xf numFmtId="41" fontId="6" fillId="33" borderId="24" xfId="59" applyNumberFormat="1" applyFont="1" applyFill="1" applyBorder="1" applyAlignment="1">
      <alignment horizontal="center"/>
      <protection/>
    </xf>
    <xf numFmtId="0" fontId="7" fillId="0" borderId="14" xfId="59" applyFont="1" applyBorder="1">
      <alignment/>
      <protection/>
    </xf>
    <xf numFmtId="215" fontId="6" fillId="33" borderId="13" xfId="59" applyNumberFormat="1" applyFont="1" applyFill="1" applyBorder="1" applyAlignment="1">
      <alignment horizontal="right"/>
      <protection/>
    </xf>
    <xf numFmtId="215" fontId="6" fillId="33" borderId="13" xfId="59" applyNumberFormat="1" applyFont="1" applyFill="1" applyBorder="1" applyAlignment="1">
      <alignment/>
      <protection/>
    </xf>
    <xf numFmtId="41" fontId="6" fillId="33" borderId="13" xfId="59" applyNumberFormat="1" applyFont="1" applyFill="1" applyBorder="1">
      <alignment/>
      <protection/>
    </xf>
    <xf numFmtId="41" fontId="6" fillId="33" borderId="13" xfId="59" applyNumberFormat="1" applyFont="1" applyFill="1" applyBorder="1" applyAlignment="1">
      <alignment/>
      <protection/>
    </xf>
    <xf numFmtId="0" fontId="6" fillId="33" borderId="13" xfId="59" applyFont="1" applyFill="1" applyBorder="1" applyAlignment="1">
      <alignment horizontal="center"/>
      <protection/>
    </xf>
    <xf numFmtId="0" fontId="1" fillId="0" borderId="26" xfId="59" applyFont="1" applyBorder="1">
      <alignment/>
      <protection/>
    </xf>
    <xf numFmtId="0" fontId="6" fillId="33" borderId="18" xfId="59" applyFont="1" applyFill="1" applyBorder="1" applyAlignment="1">
      <alignment horizontal="center"/>
      <protection/>
    </xf>
    <xf numFmtId="0" fontId="6" fillId="33" borderId="27" xfId="59" applyFont="1" applyFill="1" applyBorder="1" applyAlignment="1">
      <alignment horizontal="center"/>
      <protection/>
    </xf>
    <xf numFmtId="0" fontId="6" fillId="33" borderId="25" xfId="59" applyFont="1" applyFill="1" applyBorder="1" applyAlignment="1">
      <alignment horizontal="center"/>
      <protection/>
    </xf>
    <xf numFmtId="0" fontId="0" fillId="0" borderId="13" xfId="0" applyBorder="1" applyAlignment="1">
      <alignment/>
    </xf>
    <xf numFmtId="0" fontId="1" fillId="0" borderId="13" xfId="59" applyFont="1" applyFill="1" applyBorder="1">
      <alignment/>
      <protection/>
    </xf>
    <xf numFmtId="0" fontId="2" fillId="0" borderId="13" xfId="59" applyFont="1" applyBorder="1" applyAlignment="1">
      <alignment horizontal="left"/>
      <protection/>
    </xf>
    <xf numFmtId="0" fontId="1" fillId="0" borderId="0" xfId="59" applyFont="1" applyBorder="1" applyAlignment="1">
      <alignment horizontal="left" wrapText="1"/>
      <protection/>
    </xf>
    <xf numFmtId="0" fontId="2" fillId="0" borderId="13" xfId="59" applyFont="1" applyBorder="1" applyAlignment="1">
      <alignment horizontal="right"/>
      <protection/>
    </xf>
    <xf numFmtId="0" fontId="1" fillId="0" borderId="13" xfId="59" applyFont="1" applyBorder="1" applyAlignment="1">
      <alignment horizontal="right"/>
      <protection/>
    </xf>
    <xf numFmtId="41" fontId="1" fillId="0" borderId="28" xfId="59" applyNumberFormat="1" applyFont="1" applyFill="1" applyBorder="1" applyAlignment="1">
      <alignment horizontal="center"/>
      <protection/>
    </xf>
    <xf numFmtId="49" fontId="6" fillId="33" borderId="0" xfId="59" applyNumberFormat="1" applyFont="1" applyFill="1" applyBorder="1" applyAlignment="1">
      <alignment horizontal="center"/>
      <protection/>
    </xf>
    <xf numFmtId="0" fontId="1" fillId="0" borderId="23" xfId="59" applyFont="1" applyBorder="1" applyAlignment="1">
      <alignment horizontal="left"/>
      <protection/>
    </xf>
    <xf numFmtId="0" fontId="1" fillId="0" borderId="28" xfId="59" applyFont="1" applyBorder="1">
      <alignment/>
      <protection/>
    </xf>
    <xf numFmtId="0" fontId="1" fillId="0" borderId="29" xfId="59" applyFont="1" applyBorder="1">
      <alignment/>
      <protection/>
    </xf>
    <xf numFmtId="0" fontId="1" fillId="0" borderId="22" xfId="59" applyFont="1" applyBorder="1">
      <alignment/>
      <protection/>
    </xf>
    <xf numFmtId="0" fontId="8" fillId="0" borderId="0" xfId="0" applyFont="1" applyFill="1" applyAlignment="1">
      <alignment/>
    </xf>
    <xf numFmtId="0" fontId="9" fillId="34" borderId="0" xfId="0" applyFont="1" applyFill="1" applyAlignment="1">
      <alignment horizontal="center"/>
    </xf>
    <xf numFmtId="0" fontId="10" fillId="35" borderId="0" xfId="0" applyFont="1" applyFill="1" applyAlignment="1">
      <alignment horizontal="center"/>
    </xf>
    <xf numFmtId="0" fontId="11" fillId="0" borderId="27" xfId="0" applyFont="1" applyFill="1" applyBorder="1" applyAlignment="1">
      <alignment/>
    </xf>
    <xf numFmtId="0" fontId="0" fillId="0" borderId="16" xfId="0" applyBorder="1" applyAlignment="1">
      <alignment/>
    </xf>
    <xf numFmtId="0" fontId="8" fillId="0" borderId="27" xfId="0" applyFont="1" applyFill="1" applyBorder="1" applyAlignment="1">
      <alignment horizontal="left" indent="1"/>
    </xf>
    <xf numFmtId="0" fontId="0" fillId="0" borderId="26" xfId="0" applyBorder="1" applyAlignment="1">
      <alignment wrapText="1"/>
    </xf>
    <xf numFmtId="0" fontId="0" fillId="0" borderId="26" xfId="0" applyBorder="1" applyAlignment="1">
      <alignment horizontal="justify" vertical="top" wrapText="1"/>
    </xf>
    <xf numFmtId="0" fontId="0" fillId="0" borderId="27" xfId="0" applyBorder="1" applyAlignment="1">
      <alignment horizontal="left" indent="1"/>
    </xf>
    <xf numFmtId="0" fontId="0" fillId="0" borderId="19" xfId="0" applyBorder="1" applyAlignment="1">
      <alignment/>
    </xf>
    <xf numFmtId="0" fontId="0" fillId="0" borderId="0" xfId="0" applyBorder="1" applyAlignment="1">
      <alignment/>
    </xf>
    <xf numFmtId="0" fontId="0" fillId="0" borderId="23" xfId="0" applyBorder="1" applyAlignment="1">
      <alignment wrapText="1"/>
    </xf>
    <xf numFmtId="0" fontId="12" fillId="0" borderId="19" xfId="0" applyFont="1" applyBorder="1" applyAlignment="1">
      <alignment/>
    </xf>
    <xf numFmtId="0" fontId="0" fillId="0" borderId="18" xfId="0" applyBorder="1" applyAlignment="1">
      <alignment/>
    </xf>
    <xf numFmtId="0" fontId="0" fillId="0" borderId="13" xfId="0" applyBorder="1" applyAlignment="1">
      <alignment/>
    </xf>
    <xf numFmtId="0" fontId="0" fillId="0" borderId="26" xfId="0" applyBorder="1" applyAlignment="1">
      <alignment horizontal="left" wrapText="1"/>
    </xf>
    <xf numFmtId="0" fontId="1" fillId="0" borderId="30" xfId="59" applyFont="1" applyFill="1" applyBorder="1" applyAlignment="1">
      <alignment horizontal="center"/>
      <protection/>
    </xf>
    <xf numFmtId="0" fontId="1" fillId="0" borderId="31" xfId="59" applyFont="1" applyBorder="1">
      <alignment/>
      <protection/>
    </xf>
    <xf numFmtId="0" fontId="2" fillId="0" borderId="0" xfId="59" applyFont="1" applyBorder="1" applyAlignment="1">
      <alignment horizontal="left"/>
      <protection/>
    </xf>
    <xf numFmtId="0" fontId="14" fillId="0" borderId="0" xfId="0" applyFont="1" applyAlignment="1">
      <alignment/>
    </xf>
    <xf numFmtId="0" fontId="1" fillId="0" borderId="27" xfId="59" applyFont="1" applyBorder="1" applyAlignment="1">
      <alignment horizontal="center"/>
      <protection/>
    </xf>
    <xf numFmtId="0" fontId="10" fillId="0" borderId="0" xfId="0" applyFont="1" applyAlignment="1">
      <alignment/>
    </xf>
    <xf numFmtId="0" fontId="2" fillId="0" borderId="0" xfId="0" applyFont="1" applyAlignment="1">
      <alignment/>
    </xf>
    <xf numFmtId="0" fontId="10" fillId="0" borderId="0" xfId="0" applyFont="1" applyAlignment="1">
      <alignment horizontal="center"/>
    </xf>
    <xf numFmtId="49" fontId="1" fillId="0" borderId="32" xfId="59" applyNumberFormat="1" applyFont="1" applyBorder="1" applyAlignment="1">
      <alignment horizontal="right"/>
      <protection/>
    </xf>
    <xf numFmtId="49" fontId="1" fillId="0" borderId="27" xfId="59" applyNumberFormat="1" applyFont="1" applyBorder="1" applyAlignment="1">
      <alignment horizontal="center"/>
      <protection/>
    </xf>
    <xf numFmtId="49" fontId="1" fillId="0" borderId="33" xfId="59" applyNumberFormat="1" applyFont="1" applyBorder="1" applyAlignment="1">
      <alignment horizontal="right"/>
      <protection/>
    </xf>
    <xf numFmtId="0" fontId="1" fillId="0" borderId="33" xfId="59" applyFont="1" applyBorder="1" applyAlignment="1">
      <alignment horizontal="center"/>
      <protection/>
    </xf>
    <xf numFmtId="0" fontId="0" fillId="0" borderId="19" xfId="0" applyBorder="1" applyAlignment="1">
      <alignment horizontal="center"/>
    </xf>
    <xf numFmtId="41" fontId="1" fillId="0" borderId="31" xfId="59" applyNumberFormat="1" applyFont="1" applyFill="1" applyBorder="1" applyAlignment="1">
      <alignment/>
      <protection/>
    </xf>
    <xf numFmtId="0" fontId="0" fillId="0" borderId="34" xfId="0" applyBorder="1" applyAlignment="1">
      <alignment/>
    </xf>
    <xf numFmtId="0" fontId="2" fillId="0" borderId="10" xfId="59" applyFont="1" applyBorder="1" applyAlignment="1">
      <alignment horizontal="center"/>
      <protection/>
    </xf>
    <xf numFmtId="0" fontId="2" fillId="0" borderId="35" xfId="59" applyFont="1" applyBorder="1" applyAlignment="1">
      <alignment horizontal="center"/>
      <protection/>
    </xf>
    <xf numFmtId="0" fontId="2" fillId="0" borderId="36" xfId="59" applyFont="1" applyBorder="1" applyAlignment="1">
      <alignment horizontal="center"/>
      <protection/>
    </xf>
    <xf numFmtId="0" fontId="10" fillId="0" borderId="36" xfId="0" applyFont="1" applyBorder="1" applyAlignment="1">
      <alignment/>
    </xf>
    <xf numFmtId="0" fontId="10" fillId="0" borderId="37" xfId="0" applyFont="1" applyBorder="1" applyAlignment="1">
      <alignment/>
    </xf>
    <xf numFmtId="41" fontId="2" fillId="0" borderId="11" xfId="59" applyNumberFormat="1" applyFont="1" applyFill="1" applyBorder="1" applyAlignment="1">
      <alignment/>
      <protection/>
    </xf>
    <xf numFmtId="0" fontId="10" fillId="0" borderId="12" xfId="0" applyFont="1" applyBorder="1" applyAlignment="1">
      <alignment/>
    </xf>
    <xf numFmtId="41" fontId="2" fillId="0" borderId="38" xfId="59" applyNumberFormat="1" applyFont="1" applyFill="1" applyBorder="1" applyAlignment="1">
      <alignment/>
      <protection/>
    </xf>
    <xf numFmtId="0" fontId="10" fillId="0" borderId="39" xfId="0" applyFont="1" applyBorder="1" applyAlignment="1">
      <alignment/>
    </xf>
    <xf numFmtId="0" fontId="2" fillId="0" borderId="35" xfId="59" applyFont="1" applyBorder="1" applyAlignment="1">
      <alignment/>
      <protection/>
    </xf>
    <xf numFmtId="0" fontId="10" fillId="0" borderId="36" xfId="0" applyFont="1" applyBorder="1" applyAlignment="1">
      <alignment horizontal="center"/>
    </xf>
    <xf numFmtId="0" fontId="2" fillId="0" borderId="10" xfId="59" applyFont="1" applyBorder="1" applyAlignment="1">
      <alignment/>
      <protection/>
    </xf>
    <xf numFmtId="41" fontId="2" fillId="0" borderId="15" xfId="59" applyNumberFormat="1" applyFont="1" applyFill="1" applyBorder="1" applyAlignment="1">
      <alignment/>
      <protection/>
    </xf>
    <xf numFmtId="0" fontId="10" fillId="0" borderId="31" xfId="0" applyFont="1" applyBorder="1" applyAlignment="1">
      <alignment/>
    </xf>
    <xf numFmtId="0" fontId="2" fillId="0" borderId="40" xfId="59" applyFont="1" applyBorder="1" applyAlignment="1">
      <alignment horizontal="center"/>
      <protection/>
    </xf>
    <xf numFmtId="0" fontId="10" fillId="0" borderId="41" xfId="0" applyFont="1" applyBorder="1" applyAlignment="1">
      <alignment horizontal="center"/>
    </xf>
    <xf numFmtId="49" fontId="2" fillId="0" borderId="35" xfId="59" applyNumberFormat="1" applyFont="1" applyBorder="1" applyAlignment="1">
      <alignment/>
      <protection/>
    </xf>
    <xf numFmtId="0" fontId="10" fillId="0" borderId="37" xfId="0" applyFont="1" applyBorder="1" applyAlignment="1">
      <alignment horizontal="center"/>
    </xf>
    <xf numFmtId="41" fontId="2" fillId="0" borderId="15" xfId="44" applyNumberFormat="1" applyFont="1" applyFill="1" applyBorder="1" applyAlignment="1">
      <alignment/>
    </xf>
    <xf numFmtId="0" fontId="10" fillId="0" borderId="41" xfId="0" applyFont="1" applyBorder="1" applyAlignment="1">
      <alignment/>
    </xf>
    <xf numFmtId="0" fontId="2" fillId="0" borderId="42" xfId="59" applyFont="1" applyBorder="1" applyAlignment="1">
      <alignment horizontal="center"/>
      <protection/>
    </xf>
    <xf numFmtId="0" fontId="10" fillId="0" borderId="43" xfId="0" applyFont="1" applyBorder="1" applyAlignment="1">
      <alignment/>
    </xf>
    <xf numFmtId="49" fontId="2" fillId="0" borderId="10" xfId="59" applyNumberFormat="1" applyFont="1" applyBorder="1" applyAlignment="1">
      <alignment/>
      <protection/>
    </xf>
    <xf numFmtId="49" fontId="2" fillId="0" borderId="38" xfId="59" applyNumberFormat="1" applyFont="1" applyBorder="1" applyAlignment="1">
      <alignment/>
      <protection/>
    </xf>
    <xf numFmtId="49" fontId="2" fillId="0" borderId="35" xfId="59" applyNumberFormat="1" applyFont="1" applyBorder="1" applyAlignment="1">
      <alignment horizontal="right"/>
      <protection/>
    </xf>
    <xf numFmtId="49" fontId="2" fillId="0" borderId="35" xfId="59" applyNumberFormat="1" applyFont="1" applyBorder="1" applyAlignment="1">
      <alignment horizontal="center"/>
      <protection/>
    </xf>
    <xf numFmtId="49" fontId="2" fillId="0" borderId="42" xfId="59" applyNumberFormat="1" applyFont="1" applyBorder="1" applyAlignment="1">
      <alignment horizontal="right"/>
      <protection/>
    </xf>
    <xf numFmtId="0" fontId="10" fillId="0" borderId="43" xfId="0" applyFont="1" applyBorder="1" applyAlignment="1">
      <alignment horizontal="center"/>
    </xf>
    <xf numFmtId="0" fontId="10" fillId="0" borderId="41" xfId="0" applyFont="1" applyBorder="1" applyAlignment="1">
      <alignment horizontal="center"/>
    </xf>
    <xf numFmtId="41" fontId="1" fillId="0" borderId="39" xfId="59" applyNumberFormat="1" applyFont="1" applyFill="1" applyBorder="1" applyAlignment="1">
      <alignment/>
      <protection/>
    </xf>
    <xf numFmtId="0" fontId="0" fillId="34" borderId="26" xfId="0" applyFill="1" applyBorder="1" applyAlignment="1">
      <alignment wrapText="1"/>
    </xf>
    <xf numFmtId="0" fontId="0" fillId="36" borderId="22" xfId="0" applyFill="1" applyBorder="1" applyAlignment="1">
      <alignment/>
    </xf>
    <xf numFmtId="0" fontId="2" fillId="0" borderId="13" xfId="59" applyFont="1" applyBorder="1" applyAlignment="1">
      <alignment horizontal="center"/>
      <protection/>
    </xf>
    <xf numFmtId="0" fontId="2" fillId="0" borderId="0" xfId="59" applyFont="1" applyBorder="1" applyAlignment="1">
      <alignment horizontal="left" wrapText="1"/>
      <protection/>
    </xf>
    <xf numFmtId="0" fontId="2" fillId="0" borderId="0" xfId="59" applyFont="1" applyBorder="1">
      <alignment/>
      <protection/>
    </xf>
    <xf numFmtId="0" fontId="2" fillId="0" borderId="0" xfId="59" applyFont="1" applyBorder="1" applyAlignment="1">
      <alignment wrapText="1"/>
      <protection/>
    </xf>
    <xf numFmtId="0" fontId="2" fillId="0" borderId="0" xfId="59" applyFont="1" applyFill="1" applyBorder="1">
      <alignment/>
      <protection/>
    </xf>
    <xf numFmtId="0" fontId="2" fillId="0" borderId="16" xfId="59" applyFont="1" applyBorder="1">
      <alignment/>
      <protection/>
    </xf>
    <xf numFmtId="0" fontId="2" fillId="0" borderId="16" xfId="59" applyFont="1" applyBorder="1" applyAlignment="1">
      <alignment horizontal="center"/>
      <protection/>
    </xf>
    <xf numFmtId="0" fontId="2" fillId="0" borderId="13" xfId="59" applyFont="1" applyBorder="1">
      <alignment/>
      <protection/>
    </xf>
    <xf numFmtId="16" fontId="2" fillId="0" borderId="13" xfId="59" applyNumberFormat="1" applyFont="1" applyBorder="1" quotePrefix="1">
      <alignment/>
      <protection/>
    </xf>
    <xf numFmtId="0" fontId="2" fillId="0" borderId="16" xfId="59" applyFont="1" applyBorder="1" applyAlignment="1">
      <alignment/>
      <protection/>
    </xf>
    <xf numFmtId="0" fontId="1" fillId="0" borderId="0" xfId="59" applyFont="1" applyBorder="1" applyAlignment="1" quotePrefix="1">
      <alignment horizontal="left"/>
      <protection/>
    </xf>
    <xf numFmtId="0" fontId="10" fillId="0" borderId="26" xfId="0" applyFont="1" applyBorder="1" applyAlignment="1">
      <alignment horizontal="center"/>
    </xf>
    <xf numFmtId="0" fontId="7" fillId="0" borderId="28" xfId="59" applyFont="1" applyBorder="1" applyAlignment="1">
      <alignment horizontal="left"/>
      <protection/>
    </xf>
    <xf numFmtId="15" fontId="0" fillId="34" borderId="26" xfId="0" applyNumberFormat="1" applyFill="1" applyBorder="1" applyAlignment="1" quotePrefix="1">
      <alignment horizontal="center" wrapText="1"/>
    </xf>
    <xf numFmtId="0" fontId="0" fillId="36" borderId="44" xfId="0" applyFill="1" applyBorder="1" applyAlignment="1">
      <alignment wrapText="1"/>
    </xf>
    <xf numFmtId="0" fontId="0" fillId="36" borderId="44" xfId="0" applyFill="1" applyBorder="1" applyAlignment="1" quotePrefix="1">
      <alignment horizontal="left" wrapText="1"/>
    </xf>
    <xf numFmtId="0" fontId="0" fillId="36" borderId="44" xfId="0" applyFill="1" applyBorder="1" applyAlignment="1" quotePrefix="1">
      <alignment horizontal="left"/>
    </xf>
    <xf numFmtId="0" fontId="0" fillId="0" borderId="36" xfId="0" applyBorder="1" applyAlignment="1">
      <alignment horizontal="center"/>
    </xf>
    <xf numFmtId="0" fontId="18" fillId="34" borderId="36" xfId="0" applyFont="1" applyFill="1" applyBorder="1" applyAlignment="1">
      <alignment horizontal="center"/>
    </xf>
    <xf numFmtId="0" fontId="0" fillId="0" borderId="44" xfId="0" applyBorder="1" applyAlignment="1">
      <alignment wrapText="1"/>
    </xf>
    <xf numFmtId="0" fontId="0" fillId="0" borderId="44" xfId="0" applyBorder="1" applyAlignment="1">
      <alignment/>
    </xf>
    <xf numFmtId="0" fontId="19" fillId="0" borderId="0" xfId="0" applyFont="1" applyBorder="1" applyAlignment="1">
      <alignment horizontal="center" vertical="center"/>
    </xf>
    <xf numFmtId="0" fontId="20" fillId="0" borderId="0" xfId="0" applyFont="1" applyBorder="1" applyAlignment="1">
      <alignment vertical="center"/>
    </xf>
    <xf numFmtId="0" fontId="20" fillId="0" borderId="45" xfId="0" applyFont="1" applyBorder="1" applyAlignment="1">
      <alignment vertical="center"/>
    </xf>
    <xf numFmtId="0" fontId="19" fillId="0" borderId="45" xfId="0" applyFont="1" applyBorder="1" applyAlignment="1">
      <alignment horizontal="center" vertical="center"/>
    </xf>
    <xf numFmtId="0" fontId="19" fillId="0" borderId="45" xfId="0" applyFont="1" applyBorder="1" applyAlignment="1">
      <alignment vertical="center"/>
    </xf>
    <xf numFmtId="15" fontId="22" fillId="0" borderId="19" xfId="0" applyNumberFormat="1" applyFont="1" applyBorder="1" applyAlignment="1">
      <alignment horizontal="left" vertical="center" shrinkToFit="1"/>
    </xf>
    <xf numFmtId="15" fontId="22" fillId="0" borderId="0" xfId="0" applyNumberFormat="1" applyFont="1" applyBorder="1" applyAlignment="1">
      <alignment horizontal="center" vertical="center" shrinkToFit="1"/>
    </xf>
    <xf numFmtId="15" fontId="22" fillId="0" borderId="19" xfId="0" applyNumberFormat="1" applyFont="1" applyBorder="1" applyAlignment="1">
      <alignment horizontal="center" vertical="center" shrinkToFit="1"/>
    </xf>
    <xf numFmtId="0" fontId="21" fillId="0" borderId="45" xfId="0" applyFont="1" applyBorder="1" applyAlignment="1">
      <alignment vertical="center"/>
    </xf>
    <xf numFmtId="0" fontId="20" fillId="0" borderId="0" xfId="0" applyFont="1" applyFill="1" applyBorder="1" applyAlignment="1">
      <alignment vertical="center"/>
    </xf>
    <xf numFmtId="0" fontId="19" fillId="0" borderId="0" xfId="0" applyFont="1" applyBorder="1" applyAlignment="1">
      <alignment vertical="center"/>
    </xf>
    <xf numFmtId="0" fontId="19" fillId="0" borderId="0" xfId="0" applyFont="1" applyFill="1" applyBorder="1" applyAlignment="1">
      <alignment vertical="center"/>
    </xf>
    <xf numFmtId="0" fontId="21" fillId="0" borderId="0" xfId="0" applyFont="1" applyBorder="1" applyAlignment="1">
      <alignment vertical="center"/>
    </xf>
    <xf numFmtId="9" fontId="20" fillId="0" borderId="0" xfId="0" applyNumberFormat="1" applyFont="1" applyBorder="1" applyAlignment="1">
      <alignment vertical="center"/>
    </xf>
    <xf numFmtId="0" fontId="21" fillId="0" borderId="46" xfId="0" applyFont="1" applyBorder="1" applyAlignment="1">
      <alignment vertical="center"/>
    </xf>
    <xf numFmtId="10" fontId="20" fillId="0" borderId="0" xfId="0" applyNumberFormat="1" applyFont="1" applyBorder="1" applyAlignment="1">
      <alignment vertical="center"/>
    </xf>
    <xf numFmtId="178" fontId="20" fillId="0" borderId="45" xfId="42" applyNumberFormat="1" applyFont="1" applyBorder="1" applyAlignment="1">
      <alignment vertical="center"/>
    </xf>
    <xf numFmtId="178" fontId="20" fillId="0" borderId="46" xfId="42" applyNumberFormat="1" applyFont="1" applyBorder="1" applyAlignment="1">
      <alignment vertical="center"/>
    </xf>
    <xf numFmtId="178" fontId="21" fillId="0" borderId="45" xfId="42" applyNumberFormat="1" applyFont="1" applyBorder="1" applyAlignment="1">
      <alignment vertical="center"/>
    </xf>
    <xf numFmtId="178" fontId="20" fillId="0" borderId="19" xfId="42" applyNumberFormat="1" applyFont="1" applyBorder="1" applyAlignment="1">
      <alignment vertical="center"/>
    </xf>
    <xf numFmtId="178" fontId="21" fillId="0" borderId="47" xfId="42" applyNumberFormat="1" applyFont="1" applyBorder="1" applyAlignment="1">
      <alignment vertical="center"/>
    </xf>
    <xf numFmtId="178" fontId="20" fillId="0" borderId="45" xfId="0" applyNumberFormat="1" applyFont="1" applyBorder="1" applyAlignment="1">
      <alignment vertical="center"/>
    </xf>
    <xf numFmtId="178" fontId="20" fillId="0" borderId="46" xfId="0" applyNumberFormat="1" applyFont="1" applyBorder="1" applyAlignment="1">
      <alignment vertical="center"/>
    </xf>
    <xf numFmtId="178" fontId="21" fillId="0" borderId="45" xfId="0" applyNumberFormat="1" applyFont="1" applyBorder="1" applyAlignment="1">
      <alignment vertical="center"/>
    </xf>
    <xf numFmtId="178" fontId="21" fillId="0" borderId="46" xfId="0" applyNumberFormat="1" applyFont="1" applyBorder="1" applyAlignment="1">
      <alignment vertical="center"/>
    </xf>
    <xf numFmtId="178" fontId="21" fillId="0" borderId="46" xfId="42" applyNumberFormat="1" applyFont="1" applyBorder="1" applyAlignment="1">
      <alignment vertical="center"/>
    </xf>
    <xf numFmtId="178" fontId="20" fillId="0" borderId="0" xfId="42" applyNumberFormat="1" applyFont="1" applyBorder="1" applyAlignment="1">
      <alignment vertical="center"/>
    </xf>
    <xf numFmtId="178" fontId="20" fillId="0" borderId="0" xfId="0" applyNumberFormat="1" applyFont="1" applyBorder="1" applyAlignment="1">
      <alignment vertical="center"/>
    </xf>
    <xf numFmtId="180" fontId="20" fillId="0" borderId="0" xfId="0" applyNumberFormat="1" applyFont="1" applyBorder="1" applyAlignment="1">
      <alignment vertical="center"/>
    </xf>
    <xf numFmtId="0" fontId="0" fillId="0" borderId="26" xfId="0" applyFont="1" applyBorder="1" applyAlignment="1">
      <alignment wrapText="1"/>
    </xf>
    <xf numFmtId="0" fontId="0" fillId="0" borderId="0" xfId="0" applyFont="1" applyAlignment="1">
      <alignment/>
    </xf>
    <xf numFmtId="17" fontId="19" fillId="0" borderId="0" xfId="0" applyNumberFormat="1" applyFont="1" applyBorder="1" applyAlignment="1">
      <alignment vertical="center"/>
    </xf>
    <xf numFmtId="0" fontId="25" fillId="0" borderId="0" xfId="0" applyFont="1" applyBorder="1" applyAlignment="1">
      <alignment vertical="center"/>
    </xf>
    <xf numFmtId="43" fontId="25" fillId="0" borderId="0" xfId="0" applyNumberFormat="1" applyFont="1" applyBorder="1" applyAlignment="1">
      <alignment vertical="center"/>
    </xf>
    <xf numFmtId="9" fontId="25" fillId="37" borderId="0" xfId="0" applyNumberFormat="1" applyFont="1" applyFill="1" applyBorder="1" applyAlignment="1">
      <alignment vertical="center"/>
    </xf>
    <xf numFmtId="14" fontId="20" fillId="0" borderId="0" xfId="0" applyNumberFormat="1" applyFont="1" applyBorder="1" applyAlignment="1">
      <alignment vertical="center"/>
    </xf>
    <xf numFmtId="223" fontId="20" fillId="0" borderId="0" xfId="0" applyNumberFormat="1" applyFont="1" applyBorder="1" applyAlignment="1">
      <alignment vertical="center"/>
    </xf>
    <xf numFmtId="0" fontId="20" fillId="0" borderId="44" xfId="0" applyFont="1" applyBorder="1" applyAlignment="1">
      <alignment horizontal="left" vertical="center"/>
    </xf>
    <xf numFmtId="0" fontId="21" fillId="0" borderId="44" xfId="0" applyFont="1" applyBorder="1" applyAlignment="1">
      <alignment horizontal="center" vertical="center"/>
    </xf>
    <xf numFmtId="0" fontId="10" fillId="0" borderId="45" xfId="0" applyFont="1" applyBorder="1" applyAlignment="1">
      <alignment vertical="center" shrinkToFit="1"/>
    </xf>
    <xf numFmtId="0" fontId="0" fillId="0" borderId="45" xfId="0" applyBorder="1" applyAlignment="1">
      <alignment vertical="center"/>
    </xf>
    <xf numFmtId="0" fontId="0" fillId="0" borderId="19" xfId="0" applyBorder="1" applyAlignment="1">
      <alignment vertical="center"/>
    </xf>
    <xf numFmtId="0" fontId="14" fillId="0" borderId="19" xfId="0" applyFont="1" applyBorder="1" applyAlignment="1">
      <alignment vertical="center"/>
    </xf>
    <xf numFmtId="0" fontId="0" fillId="0" borderId="19" xfId="0" applyFont="1" applyBorder="1" applyAlignment="1">
      <alignment vertical="center"/>
    </xf>
    <xf numFmtId="0" fontId="10" fillId="0" borderId="48" xfId="0" applyFont="1" applyBorder="1" applyAlignment="1">
      <alignment vertical="center"/>
    </xf>
    <xf numFmtId="0" fontId="10" fillId="0" borderId="45" xfId="0" applyFont="1" applyBorder="1" applyAlignment="1">
      <alignment vertical="center"/>
    </xf>
    <xf numFmtId="1" fontId="0" fillId="0" borderId="45" xfId="0" applyNumberFormat="1" applyBorder="1" applyAlignment="1">
      <alignment vertical="center"/>
    </xf>
    <xf numFmtId="1" fontId="10" fillId="0" borderId="48" xfId="0" applyNumberFormat="1" applyFont="1" applyBorder="1" applyAlignment="1">
      <alignment vertical="center"/>
    </xf>
    <xf numFmtId="0" fontId="0" fillId="0" borderId="46" xfId="0" applyBorder="1" applyAlignment="1">
      <alignment vertical="center"/>
    </xf>
    <xf numFmtId="43" fontId="0" fillId="0" borderId="45" xfId="42" applyFont="1" applyBorder="1" applyAlignment="1">
      <alignment vertical="center"/>
    </xf>
    <xf numFmtId="0" fontId="10" fillId="0" borderId="19" xfId="0" applyFont="1" applyBorder="1" applyAlignment="1">
      <alignment vertical="center" shrinkToFit="1"/>
    </xf>
    <xf numFmtId="178" fontId="21" fillId="0" borderId="0" xfId="42" applyNumberFormat="1" applyFont="1" applyBorder="1" applyAlignment="1">
      <alignment vertical="center"/>
    </xf>
    <xf numFmtId="1" fontId="10" fillId="0" borderId="36" xfId="0" applyNumberFormat="1" applyFont="1" applyBorder="1" applyAlignment="1">
      <alignment vertical="center"/>
    </xf>
    <xf numFmtId="0" fontId="21" fillId="0" borderId="0"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19" xfId="0" applyFont="1" applyBorder="1" applyAlignment="1">
      <alignment horizontal="center" vertical="center"/>
    </xf>
    <xf numFmtId="0" fontId="19" fillId="0" borderId="19" xfId="0" applyFont="1" applyBorder="1" applyAlignment="1">
      <alignment horizontal="center" vertical="center"/>
    </xf>
    <xf numFmtId="1" fontId="10" fillId="0" borderId="0" xfId="0" applyNumberFormat="1" applyFont="1" applyBorder="1" applyAlignment="1">
      <alignment vertical="center"/>
    </xf>
    <xf numFmtId="178" fontId="21" fillId="0" borderId="0" xfId="0" applyNumberFormat="1" applyFont="1" applyBorder="1" applyAlignment="1">
      <alignment vertical="center"/>
    </xf>
    <xf numFmtId="178" fontId="20" fillId="0" borderId="19" xfId="0" applyNumberFormat="1" applyFont="1" applyBorder="1" applyAlignment="1">
      <alignment vertical="center"/>
    </xf>
    <xf numFmtId="0" fontId="0" fillId="0" borderId="45" xfId="0" applyFont="1" applyBorder="1" applyAlignment="1">
      <alignment vertical="center"/>
    </xf>
    <xf numFmtId="1" fontId="20" fillId="0" borderId="0" xfId="0" applyNumberFormat="1" applyFont="1" applyBorder="1" applyAlignment="1">
      <alignment vertical="center"/>
    </xf>
    <xf numFmtId="43" fontId="0" fillId="0" borderId="45" xfId="0" applyNumberFormat="1" applyBorder="1" applyAlignment="1">
      <alignment vertical="center"/>
    </xf>
    <xf numFmtId="49" fontId="24" fillId="38" borderId="0" xfId="0" applyNumberFormat="1" applyFont="1" applyFill="1" applyBorder="1" applyAlignment="1">
      <alignment horizontal="center" vertical="center"/>
    </xf>
    <xf numFmtId="223" fontId="24" fillId="38" borderId="0" xfId="0" applyNumberFormat="1" applyFont="1" applyFill="1" applyBorder="1" applyAlignment="1">
      <alignment horizontal="right" vertical="center"/>
    </xf>
    <xf numFmtId="15" fontId="26" fillId="0" borderId="19" xfId="0" applyNumberFormat="1" applyFont="1" applyBorder="1" applyAlignment="1">
      <alignment horizontal="left" vertical="center" shrinkToFit="1"/>
    </xf>
    <xf numFmtId="0" fontId="70" fillId="0" borderId="45" xfId="54" applyBorder="1" applyAlignment="1" applyProtection="1">
      <alignment vertical="center"/>
      <protection/>
    </xf>
    <xf numFmtId="0" fontId="0" fillId="0" borderId="45" xfId="0" applyFont="1" applyBorder="1" applyAlignment="1">
      <alignment/>
    </xf>
    <xf numFmtId="0" fontId="10" fillId="0" borderId="45" xfId="0" applyFont="1" applyBorder="1" applyAlignment="1">
      <alignment horizontal="center"/>
    </xf>
    <xf numFmtId="37" fontId="10" fillId="0" borderId="45" xfId="42" applyNumberFormat="1" applyFont="1" applyBorder="1" applyAlignment="1">
      <alignment horizontal="center"/>
    </xf>
    <xf numFmtId="0" fontId="0" fillId="0" borderId="45" xfId="0" applyBorder="1" applyAlignment="1">
      <alignment/>
    </xf>
    <xf numFmtId="37" fontId="10" fillId="0" borderId="46" xfId="42" applyNumberFormat="1" applyFont="1" applyBorder="1" applyAlignment="1">
      <alignment horizontal="center"/>
    </xf>
    <xf numFmtId="0" fontId="14" fillId="7" borderId="49" xfId="0" applyFont="1" applyFill="1" applyBorder="1" applyAlignment="1">
      <alignment horizontal="center" vertical="center"/>
    </xf>
    <xf numFmtId="0" fontId="78" fillId="0" borderId="20" xfId="0" applyFont="1" applyBorder="1" applyAlignment="1">
      <alignment/>
    </xf>
    <xf numFmtId="0" fontId="78" fillId="0" borderId="24" xfId="0" applyFont="1" applyBorder="1" applyAlignment="1">
      <alignment/>
    </xf>
    <xf numFmtId="0" fontId="78" fillId="0" borderId="0" xfId="0" applyFont="1" applyBorder="1" applyAlignment="1">
      <alignment/>
    </xf>
    <xf numFmtId="0" fontId="78" fillId="0" borderId="23" xfId="0" applyFont="1" applyBorder="1" applyAlignment="1">
      <alignment/>
    </xf>
    <xf numFmtId="0" fontId="79" fillId="0" borderId="0" xfId="0" applyFont="1" applyBorder="1" applyAlignment="1">
      <alignment/>
    </xf>
    <xf numFmtId="0" fontId="78" fillId="0" borderId="13" xfId="0" applyFont="1" applyBorder="1" applyAlignment="1">
      <alignment/>
    </xf>
    <xf numFmtId="0" fontId="78" fillId="0" borderId="22" xfId="0" applyFont="1" applyBorder="1" applyAlignment="1">
      <alignment/>
    </xf>
    <xf numFmtId="171" fontId="20" fillId="0" borderId="45" xfId="0" applyNumberFormat="1" applyFont="1" applyBorder="1" applyAlignment="1">
      <alignment vertical="center"/>
    </xf>
    <xf numFmtId="171" fontId="21" fillId="0" borderId="45" xfId="0" applyNumberFormat="1" applyFont="1" applyBorder="1" applyAlignment="1">
      <alignment vertical="center"/>
    </xf>
    <xf numFmtId="0" fontId="54" fillId="0" borderId="0" xfId="0" applyFont="1" applyAlignment="1">
      <alignment/>
    </xf>
    <xf numFmtId="2" fontId="54" fillId="0" borderId="0" xfId="0" applyNumberFormat="1" applyFont="1" applyAlignment="1">
      <alignment/>
    </xf>
    <xf numFmtId="171" fontId="20" fillId="0" borderId="44" xfId="0" applyNumberFormat="1" applyFont="1" applyBorder="1" applyAlignment="1">
      <alignment horizontal="left" vertical="center"/>
    </xf>
    <xf numFmtId="171" fontId="54" fillId="0" borderId="0" xfId="0" applyNumberFormat="1" applyFont="1" applyAlignment="1">
      <alignment/>
    </xf>
    <xf numFmtId="0" fontId="54" fillId="0" borderId="23" xfId="0" applyFont="1" applyBorder="1" applyAlignment="1">
      <alignment/>
    </xf>
    <xf numFmtId="1" fontId="54" fillId="0" borderId="23" xfId="0" applyNumberFormat="1" applyFont="1" applyBorder="1" applyAlignment="1">
      <alignment/>
    </xf>
    <xf numFmtId="178" fontId="20" fillId="39" borderId="45" xfId="42" applyNumberFormat="1" applyFont="1" applyFill="1" applyBorder="1" applyAlignment="1">
      <alignment vertical="center"/>
    </xf>
    <xf numFmtId="178" fontId="20" fillId="39" borderId="46" xfId="42" applyNumberFormat="1" applyFont="1" applyFill="1" applyBorder="1" applyAlignment="1">
      <alignment vertical="center"/>
    </xf>
    <xf numFmtId="43" fontId="21" fillId="0" borderId="45" xfId="42" applyNumberFormat="1" applyFont="1" applyBorder="1" applyAlignment="1">
      <alignment vertical="center"/>
    </xf>
    <xf numFmtId="43" fontId="20" fillId="7" borderId="46" xfId="0" applyNumberFormat="1" applyFont="1" applyFill="1" applyBorder="1" applyAlignment="1">
      <alignment vertical="center"/>
    </xf>
    <xf numFmtId="43" fontId="21" fillId="0" borderId="47" xfId="42" applyNumberFormat="1" applyFont="1" applyBorder="1" applyAlignment="1">
      <alignment vertical="center"/>
    </xf>
    <xf numFmtId="10" fontId="54" fillId="0" borderId="0" xfId="62" applyNumberFormat="1" applyFont="1" applyAlignment="1">
      <alignment/>
    </xf>
    <xf numFmtId="0" fontId="54" fillId="0" borderId="18" xfId="0" applyFont="1" applyBorder="1" applyAlignment="1">
      <alignment/>
    </xf>
    <xf numFmtId="0" fontId="54" fillId="0" borderId="13" xfId="0" applyFont="1" applyBorder="1" applyAlignment="1">
      <alignment/>
    </xf>
    <xf numFmtId="0" fontId="54" fillId="0" borderId="22" xfId="0" applyFont="1" applyBorder="1" applyAlignment="1">
      <alignment/>
    </xf>
    <xf numFmtId="0" fontId="54" fillId="39" borderId="19" xfId="0" applyFont="1" applyFill="1" applyBorder="1" applyAlignment="1">
      <alignment/>
    </xf>
    <xf numFmtId="2" fontId="54" fillId="39" borderId="19" xfId="0" applyNumberFormat="1" applyFont="1" applyFill="1" applyBorder="1" applyAlignment="1">
      <alignment/>
    </xf>
    <xf numFmtId="1" fontId="54" fillId="40" borderId="0" xfId="0" applyNumberFormat="1" applyFont="1" applyFill="1" applyBorder="1" applyAlignment="1">
      <alignment/>
    </xf>
    <xf numFmtId="2" fontId="54" fillId="40" borderId="0" xfId="0" applyNumberFormat="1" applyFont="1" applyFill="1" applyBorder="1" applyAlignment="1">
      <alignment/>
    </xf>
    <xf numFmtId="0" fontId="54" fillId="40" borderId="0" xfId="0" applyFont="1" applyFill="1" applyBorder="1" applyAlignment="1">
      <alignment/>
    </xf>
    <xf numFmtId="202" fontId="54" fillId="40" borderId="0" xfId="0" applyNumberFormat="1" applyFont="1" applyFill="1" applyBorder="1" applyAlignment="1">
      <alignment/>
    </xf>
    <xf numFmtId="202" fontId="54" fillId="40" borderId="0" xfId="0" applyNumberFormat="1" applyFont="1" applyFill="1" applyAlignment="1">
      <alignment/>
    </xf>
    <xf numFmtId="0" fontId="54" fillId="39" borderId="0" xfId="0" applyFont="1" applyFill="1" applyAlignment="1">
      <alignment/>
    </xf>
    <xf numFmtId="0" fontId="54" fillId="40" borderId="0" xfId="0" applyFont="1" applyFill="1" applyAlignment="1">
      <alignment/>
    </xf>
    <xf numFmtId="0" fontId="80" fillId="0" borderId="18" xfId="0" applyFont="1" applyBorder="1" applyAlignment="1">
      <alignment/>
    </xf>
    <xf numFmtId="0" fontId="80" fillId="0" borderId="13" xfId="0" applyFont="1" applyBorder="1" applyAlignment="1">
      <alignment/>
    </xf>
    <xf numFmtId="0" fontId="80" fillId="0" borderId="22" xfId="0" applyFont="1" applyBorder="1" applyAlignment="1">
      <alignment/>
    </xf>
    <xf numFmtId="1" fontId="54" fillId="39" borderId="19" xfId="0" applyNumberFormat="1" applyFont="1" applyFill="1" applyBorder="1" applyAlignment="1">
      <alignment/>
    </xf>
    <xf numFmtId="1" fontId="54" fillId="0" borderId="0" xfId="0" applyNumberFormat="1" applyFont="1" applyAlignment="1">
      <alignment/>
    </xf>
    <xf numFmtId="0" fontId="81" fillId="40" borderId="0" xfId="0" applyFont="1" applyFill="1" applyAlignment="1">
      <alignment/>
    </xf>
    <xf numFmtId="180" fontId="81" fillId="40" borderId="0" xfId="0" applyNumberFormat="1" applyFont="1" applyFill="1" applyAlignment="1">
      <alignment/>
    </xf>
    <xf numFmtId="171" fontId="81" fillId="40" borderId="0" xfId="0" applyNumberFormat="1" applyFont="1" applyFill="1" applyAlignment="1">
      <alignment/>
    </xf>
    <xf numFmtId="15" fontId="20" fillId="0" borderId="0" xfId="0" applyNumberFormat="1" applyFont="1" applyBorder="1" applyAlignment="1">
      <alignment vertical="center"/>
    </xf>
    <xf numFmtId="0" fontId="57" fillId="0" borderId="0" xfId="0" applyFont="1" applyBorder="1" applyAlignment="1">
      <alignment horizontal="center" vertical="center"/>
    </xf>
    <xf numFmtId="0" fontId="30" fillId="0" borderId="0" xfId="0" applyFont="1" applyBorder="1" applyAlignment="1">
      <alignment vertical="center"/>
    </xf>
    <xf numFmtId="223" fontId="30" fillId="0" borderId="0" xfId="0" applyNumberFormat="1" applyFont="1" applyBorder="1" applyAlignment="1">
      <alignment vertical="center"/>
    </xf>
    <xf numFmtId="14" fontId="30" fillId="0" borderId="0" xfId="0" applyNumberFormat="1" applyFont="1" applyBorder="1" applyAlignment="1">
      <alignment vertical="center"/>
    </xf>
    <xf numFmtId="0" fontId="31" fillId="0" borderId="0" xfId="0" applyFont="1" applyBorder="1" applyAlignment="1">
      <alignment horizontal="center" vertical="center" wrapText="1"/>
    </xf>
    <xf numFmtId="0" fontId="31" fillId="0" borderId="19" xfId="0" applyFont="1" applyBorder="1" applyAlignment="1">
      <alignment horizontal="center" vertical="center" wrapText="1"/>
    </xf>
    <xf numFmtId="0" fontId="31" fillId="41" borderId="44" xfId="0" applyFont="1" applyFill="1" applyBorder="1" applyAlignment="1">
      <alignment horizontal="center" vertical="center"/>
    </xf>
    <xf numFmtId="0" fontId="31" fillId="0" borderId="0" xfId="0" applyFont="1" applyBorder="1" applyAlignment="1">
      <alignment horizontal="center" vertical="center"/>
    </xf>
    <xf numFmtId="0" fontId="31" fillId="0" borderId="19" xfId="0" applyFont="1" applyBorder="1" applyAlignment="1">
      <alignment horizontal="center" vertical="center"/>
    </xf>
    <xf numFmtId="0" fontId="30" fillId="41" borderId="44" xfId="0" applyFont="1" applyFill="1" applyBorder="1" applyAlignment="1">
      <alignment vertical="center"/>
    </xf>
    <xf numFmtId="0" fontId="57" fillId="41" borderId="44" xfId="0" applyFont="1" applyFill="1" applyBorder="1" applyAlignment="1">
      <alignment horizontal="center" vertical="center"/>
    </xf>
    <xf numFmtId="0" fontId="57" fillId="0" borderId="19" xfId="0" applyFont="1" applyBorder="1" applyAlignment="1">
      <alignment horizontal="center" vertical="center"/>
    </xf>
    <xf numFmtId="0" fontId="57" fillId="41" borderId="44" xfId="0" applyFont="1" applyFill="1" applyBorder="1" applyAlignment="1">
      <alignment vertical="center"/>
    </xf>
    <xf numFmtId="178" fontId="30" fillId="41" borderId="44" xfId="42" applyNumberFormat="1" applyFont="1" applyFill="1" applyBorder="1" applyAlignment="1">
      <alignment vertical="center"/>
    </xf>
    <xf numFmtId="178" fontId="30" fillId="0" borderId="0" xfId="42" applyNumberFormat="1" applyFont="1" applyBorder="1" applyAlignment="1">
      <alignment vertical="center"/>
    </xf>
    <xf numFmtId="178" fontId="30" fillId="0" borderId="19" xfId="42" applyNumberFormat="1" applyFont="1" applyBorder="1" applyAlignment="1">
      <alignment vertical="center"/>
    </xf>
    <xf numFmtId="15" fontId="30" fillId="41" borderId="44" xfId="0" applyNumberFormat="1" applyFont="1" applyFill="1" applyBorder="1" applyAlignment="1">
      <alignment horizontal="left" vertical="center" shrinkToFit="1"/>
    </xf>
    <xf numFmtId="223" fontId="53" fillId="38" borderId="0" xfId="0" applyNumberFormat="1" applyFont="1" applyFill="1" applyBorder="1" applyAlignment="1">
      <alignment horizontal="right" vertical="center"/>
    </xf>
    <xf numFmtId="49" fontId="53" fillId="38" borderId="0" xfId="0" applyNumberFormat="1" applyFont="1" applyFill="1" applyBorder="1" applyAlignment="1">
      <alignment horizontal="center" vertical="center"/>
    </xf>
    <xf numFmtId="15" fontId="31" fillId="41" borderId="44" xfId="0" applyNumberFormat="1" applyFont="1" applyFill="1" applyBorder="1" applyAlignment="1">
      <alignment horizontal="left" vertical="center" shrinkToFit="1"/>
    </xf>
    <xf numFmtId="15" fontId="30" fillId="0" borderId="0" xfId="0" applyNumberFormat="1" applyFont="1" applyBorder="1" applyAlignment="1">
      <alignment horizontal="center" vertical="center" shrinkToFit="1"/>
    </xf>
    <xf numFmtId="15" fontId="30" fillId="0" borderId="19" xfId="0" applyNumberFormat="1" applyFont="1" applyBorder="1" applyAlignment="1">
      <alignment horizontal="center" vertical="center" shrinkToFit="1"/>
    </xf>
    <xf numFmtId="0" fontId="31" fillId="41" borderId="44" xfId="0" applyFont="1" applyFill="1" applyBorder="1" applyAlignment="1">
      <alignment vertical="center"/>
    </xf>
    <xf numFmtId="178" fontId="31" fillId="41" borderId="44" xfId="42" applyNumberFormat="1" applyFont="1" applyFill="1" applyBorder="1" applyAlignment="1">
      <alignment vertical="center"/>
    </xf>
    <xf numFmtId="0" fontId="31" fillId="41" borderId="44" xfId="0" applyFont="1" applyFill="1" applyBorder="1" applyAlignment="1">
      <alignment vertical="center" shrinkToFit="1"/>
    </xf>
    <xf numFmtId="178" fontId="31" fillId="0" borderId="0" xfId="42" applyNumberFormat="1" applyFont="1" applyBorder="1" applyAlignment="1">
      <alignment vertical="center"/>
    </xf>
    <xf numFmtId="0" fontId="30" fillId="0" borderId="0" xfId="0" applyFont="1" applyFill="1" applyBorder="1" applyAlignment="1">
      <alignment vertical="center"/>
    </xf>
    <xf numFmtId="43" fontId="30" fillId="41" borderId="44" xfId="0" applyNumberFormat="1" applyFont="1" applyFill="1" applyBorder="1" applyAlignment="1">
      <alignment vertical="center"/>
    </xf>
    <xf numFmtId="1" fontId="31" fillId="0" borderId="0" xfId="0" applyNumberFormat="1" applyFont="1" applyBorder="1" applyAlignment="1">
      <alignment vertical="center"/>
    </xf>
    <xf numFmtId="178" fontId="30" fillId="41" borderId="44" xfId="0" applyNumberFormat="1" applyFont="1" applyFill="1" applyBorder="1" applyAlignment="1">
      <alignment vertical="center"/>
    </xf>
    <xf numFmtId="178" fontId="30" fillId="0" borderId="0" xfId="0" applyNumberFormat="1" applyFont="1" applyBorder="1" applyAlignment="1">
      <alignment vertical="center"/>
    </xf>
    <xf numFmtId="43" fontId="34" fillId="0" borderId="0" xfId="0" applyNumberFormat="1" applyFont="1" applyBorder="1" applyAlignment="1">
      <alignment vertical="center"/>
    </xf>
    <xf numFmtId="17" fontId="57" fillId="0" borderId="0" xfId="0" applyNumberFormat="1" applyFont="1" applyBorder="1" applyAlignment="1">
      <alignment vertical="center"/>
    </xf>
    <xf numFmtId="0" fontId="57" fillId="0" borderId="0" xfId="0" applyFont="1" applyFill="1" applyBorder="1" applyAlignment="1">
      <alignment vertical="center"/>
    </xf>
    <xf numFmtId="1" fontId="30" fillId="0" borderId="0" xfId="0" applyNumberFormat="1" applyFont="1" applyBorder="1" applyAlignment="1">
      <alignment vertical="center"/>
    </xf>
    <xf numFmtId="0" fontId="57" fillId="0" borderId="0" xfId="0" applyFont="1" applyBorder="1" applyAlignment="1">
      <alignment vertical="center"/>
    </xf>
    <xf numFmtId="0" fontId="31" fillId="0" borderId="0" xfId="0" applyFont="1" applyBorder="1" applyAlignment="1">
      <alignment vertical="center"/>
    </xf>
    <xf numFmtId="171" fontId="30" fillId="41" borderId="44" xfId="0" applyNumberFormat="1" applyFont="1" applyFill="1" applyBorder="1" applyAlignment="1">
      <alignment vertical="center"/>
    </xf>
    <xf numFmtId="178" fontId="31" fillId="41" borderId="44" xfId="0" applyNumberFormat="1" applyFont="1" applyFill="1" applyBorder="1" applyAlignment="1">
      <alignment vertical="center"/>
    </xf>
    <xf numFmtId="178" fontId="31" fillId="0" borderId="0" xfId="0" applyNumberFormat="1" applyFont="1" applyBorder="1" applyAlignment="1">
      <alignment vertical="center"/>
    </xf>
    <xf numFmtId="9" fontId="30" fillId="0" borderId="0" xfId="0" applyNumberFormat="1" applyFont="1" applyBorder="1" applyAlignment="1">
      <alignment vertical="center"/>
    </xf>
    <xf numFmtId="171" fontId="31" fillId="41" borderId="44" xfId="0" applyNumberFormat="1" applyFont="1" applyFill="1" applyBorder="1" applyAlignment="1">
      <alignment vertical="center"/>
    </xf>
    <xf numFmtId="178" fontId="30" fillId="0" borderId="19" xfId="0" applyNumberFormat="1" applyFont="1" applyBorder="1" applyAlignment="1">
      <alignment vertical="center"/>
    </xf>
    <xf numFmtId="9" fontId="34" fillId="37" borderId="0" xfId="0" applyNumberFormat="1" applyFont="1" applyFill="1" applyBorder="1" applyAlignment="1">
      <alignment vertical="center"/>
    </xf>
    <xf numFmtId="0" fontId="34" fillId="0" borderId="0" xfId="0" applyFont="1" applyBorder="1" applyAlignment="1">
      <alignment vertical="center"/>
    </xf>
    <xf numFmtId="180" fontId="30" fillId="0" borderId="0" xfId="0" applyNumberFormat="1" applyFont="1" applyBorder="1" applyAlignment="1">
      <alignment vertical="center"/>
    </xf>
    <xf numFmtId="10" fontId="30" fillId="41" borderId="44" xfId="0" applyNumberFormat="1" applyFont="1" applyFill="1" applyBorder="1" applyAlignment="1">
      <alignment vertical="center"/>
    </xf>
    <xf numFmtId="10" fontId="30" fillId="0" borderId="0" xfId="0" applyNumberFormat="1" applyFont="1" applyBorder="1" applyAlignment="1">
      <alignment vertical="center"/>
    </xf>
    <xf numFmtId="0" fontId="30" fillId="41" borderId="44" xfId="0" applyFont="1" applyFill="1" applyBorder="1" applyAlignment="1">
      <alignment/>
    </xf>
    <xf numFmtId="0" fontId="30" fillId="0" borderId="0" xfId="0" applyFont="1" applyAlignment="1">
      <alignment/>
    </xf>
    <xf numFmtId="0" fontId="60" fillId="41" borderId="44" xfId="0" applyFont="1" applyFill="1" applyBorder="1" applyAlignment="1">
      <alignment/>
    </xf>
    <xf numFmtId="15" fontId="30" fillId="0" borderId="0" xfId="0" applyNumberFormat="1" applyFont="1" applyBorder="1" applyAlignment="1">
      <alignment vertical="center"/>
    </xf>
    <xf numFmtId="171" fontId="31" fillId="41" borderId="44" xfId="0" applyNumberFormat="1" applyFont="1" applyFill="1" applyBorder="1" applyAlignment="1">
      <alignment horizontal="left" vertical="center"/>
    </xf>
    <xf numFmtId="0" fontId="31" fillId="41" borderId="44" xfId="0" applyFont="1" applyFill="1" applyBorder="1" applyAlignment="1">
      <alignment horizontal="left" vertical="center"/>
    </xf>
    <xf numFmtId="0" fontId="79" fillId="41" borderId="44" xfId="0" applyFont="1" applyFill="1" applyBorder="1" applyAlignment="1">
      <alignment/>
    </xf>
    <xf numFmtId="0" fontId="31" fillId="41" borderId="44" xfId="0" applyFont="1" applyFill="1" applyBorder="1" applyAlignment="1">
      <alignment horizontal="center" vertical="center"/>
    </xf>
    <xf numFmtId="15" fontId="30" fillId="42" borderId="44" xfId="0" applyNumberFormat="1" applyFont="1" applyFill="1" applyBorder="1" applyAlignment="1">
      <alignment vertical="center"/>
    </xf>
    <xf numFmtId="0" fontId="31" fillId="42" borderId="44" xfId="0" applyFont="1" applyFill="1" applyBorder="1" applyAlignment="1">
      <alignment horizontal="center" vertical="center"/>
    </xf>
    <xf numFmtId="178" fontId="30" fillId="42" borderId="44" xfId="42" applyNumberFormat="1" applyFont="1" applyFill="1" applyBorder="1" applyAlignment="1">
      <alignment vertical="center"/>
    </xf>
    <xf numFmtId="178" fontId="31" fillId="42" borderId="44" xfId="42" applyNumberFormat="1" applyFont="1" applyFill="1" applyBorder="1" applyAlignment="1">
      <alignment vertical="center"/>
    </xf>
    <xf numFmtId="0" fontId="30" fillId="42" borderId="44" xfId="0" applyFont="1" applyFill="1" applyBorder="1" applyAlignment="1">
      <alignment vertical="center"/>
    </xf>
    <xf numFmtId="43" fontId="30" fillId="42" borderId="44" xfId="42" applyFont="1" applyFill="1" applyBorder="1" applyAlignment="1">
      <alignment vertical="center"/>
    </xf>
    <xf numFmtId="1" fontId="30" fillId="42" borderId="44" xfId="0" applyNumberFormat="1" applyFont="1" applyFill="1" applyBorder="1" applyAlignment="1">
      <alignment vertical="center"/>
    </xf>
    <xf numFmtId="178" fontId="31" fillId="42" borderId="44" xfId="0" applyNumberFormat="1" applyFont="1" applyFill="1" applyBorder="1" applyAlignment="1">
      <alignment vertical="center"/>
    </xf>
    <xf numFmtId="178" fontId="30" fillId="42" borderId="44" xfId="0" applyNumberFormat="1" applyFont="1" applyFill="1" applyBorder="1" applyAlignment="1">
      <alignment vertical="center"/>
    </xf>
    <xf numFmtId="178" fontId="30" fillId="43" borderId="44" xfId="42" applyNumberFormat="1" applyFont="1" applyFill="1" applyBorder="1" applyAlignment="1">
      <alignment vertical="center"/>
    </xf>
    <xf numFmtId="178" fontId="31" fillId="43" borderId="44" xfId="42" applyNumberFormat="1" applyFont="1" applyFill="1" applyBorder="1" applyAlignment="1">
      <alignment vertical="center"/>
    </xf>
    <xf numFmtId="1" fontId="31" fillId="43" borderId="44" xfId="0" applyNumberFormat="1" applyFont="1" applyFill="1" applyBorder="1" applyAlignment="1">
      <alignment vertical="center"/>
    </xf>
    <xf numFmtId="178" fontId="30" fillId="43" borderId="44" xfId="0" applyNumberFormat="1" applyFont="1" applyFill="1" applyBorder="1" applyAlignment="1">
      <alignment vertical="center"/>
    </xf>
    <xf numFmtId="178" fontId="31" fillId="43" borderId="44" xfId="0" applyNumberFormat="1" applyFont="1" applyFill="1" applyBorder="1" applyAlignment="1">
      <alignment vertical="center"/>
    </xf>
    <xf numFmtId="0" fontId="31" fillId="43" borderId="44" xfId="0" applyFont="1" applyFill="1" applyBorder="1" applyAlignment="1">
      <alignment vertical="center"/>
    </xf>
    <xf numFmtId="0" fontId="32" fillId="9" borderId="44" xfId="54" applyFont="1" applyFill="1" applyBorder="1" applyAlignment="1" applyProtection="1">
      <alignment vertical="center"/>
      <protection/>
    </xf>
    <xf numFmtId="0" fontId="30" fillId="9" borderId="44" xfId="0" applyFont="1" applyFill="1" applyBorder="1" applyAlignment="1">
      <alignment/>
    </xf>
    <xf numFmtId="0" fontId="30" fillId="9" borderId="0" xfId="0" applyFont="1" applyFill="1" applyBorder="1" applyAlignment="1">
      <alignment vertical="center"/>
    </xf>
    <xf numFmtId="0" fontId="31" fillId="9" borderId="44" xfId="0" applyFont="1" applyFill="1" applyBorder="1" applyAlignment="1">
      <alignment horizontal="center"/>
    </xf>
    <xf numFmtId="37" fontId="31" fillId="9" borderId="44" xfId="42" applyNumberFormat="1" applyFont="1" applyFill="1" applyBorder="1" applyAlignment="1">
      <alignment horizontal="center"/>
    </xf>
    <xf numFmtId="178" fontId="30" fillId="0" borderId="44" xfId="42" applyNumberFormat="1" applyFont="1" applyFill="1" applyBorder="1" applyAlignment="1">
      <alignment vertical="center"/>
    </xf>
    <xf numFmtId="0" fontId="76" fillId="0" borderId="0" xfId="0" applyFont="1" applyAlignment="1">
      <alignment/>
    </xf>
    <xf numFmtId="0" fontId="76" fillId="0" borderId="44" xfId="0" applyFont="1" applyBorder="1" applyAlignment="1">
      <alignment/>
    </xf>
    <xf numFmtId="1" fontId="0" fillId="0" borderId="44" xfId="0" applyNumberFormat="1" applyBorder="1" applyAlignment="1">
      <alignment/>
    </xf>
    <xf numFmtId="1" fontId="76" fillId="0" borderId="44" xfId="0" applyNumberFormat="1" applyFont="1" applyBorder="1" applyAlignment="1">
      <alignment/>
    </xf>
    <xf numFmtId="43" fontId="76" fillId="0" borderId="0" xfId="42" applyFont="1" applyAlignment="1">
      <alignment/>
    </xf>
    <xf numFmtId="0" fontId="30" fillId="0" borderId="0" xfId="0" applyFont="1" applyBorder="1" applyAlignment="1">
      <alignment vertical="center"/>
    </xf>
    <xf numFmtId="0" fontId="25" fillId="37" borderId="19" xfId="0" applyFont="1" applyFill="1" applyBorder="1" applyAlignment="1">
      <alignment horizontal="center" vertical="center"/>
    </xf>
    <xf numFmtId="0" fontId="25" fillId="37" borderId="0" xfId="0" applyFont="1" applyFill="1" applyBorder="1" applyAlignment="1">
      <alignment horizontal="center" vertical="center"/>
    </xf>
    <xf numFmtId="49" fontId="24" fillId="38" borderId="0" xfId="0" applyNumberFormat="1" applyFont="1" applyFill="1" applyBorder="1" applyAlignment="1">
      <alignment horizontal="center" vertical="center"/>
    </xf>
    <xf numFmtId="223" fontId="24" fillId="38" borderId="19" xfId="0" applyNumberFormat="1" applyFont="1" applyFill="1" applyBorder="1" applyAlignment="1">
      <alignment horizontal="right" vertical="center"/>
    </xf>
    <xf numFmtId="223" fontId="24" fillId="38" borderId="0" xfId="0" applyNumberFormat="1" applyFont="1" applyFill="1" applyBorder="1" applyAlignment="1">
      <alignment horizontal="right" vertical="center"/>
    </xf>
    <xf numFmtId="0" fontId="21" fillId="0" borderId="44" xfId="0" applyFont="1" applyBorder="1" applyAlignment="1">
      <alignment horizontal="center" vertical="center" wrapText="1"/>
    </xf>
    <xf numFmtId="0" fontId="20" fillId="0" borderId="44" xfId="0" applyFont="1" applyBorder="1" applyAlignment="1">
      <alignment horizontal="left" vertical="center"/>
    </xf>
    <xf numFmtId="0" fontId="19" fillId="0" borderId="27" xfId="0" applyFont="1" applyBorder="1" applyAlignment="1">
      <alignment horizontal="center" vertical="center"/>
    </xf>
    <xf numFmtId="0" fontId="19" fillId="0" borderId="16" xfId="0" applyFont="1" applyBorder="1" applyAlignment="1">
      <alignment horizontal="center" vertical="center"/>
    </xf>
    <xf numFmtId="0" fontId="19" fillId="0" borderId="26" xfId="0" applyFont="1" applyBorder="1" applyAlignment="1">
      <alignment horizontal="center" vertical="center"/>
    </xf>
    <xf numFmtId="0" fontId="23" fillId="34" borderId="0" xfId="0" applyFont="1" applyFill="1" applyBorder="1" applyAlignment="1">
      <alignment horizontal="center" vertical="center"/>
    </xf>
    <xf numFmtId="0" fontId="20" fillId="0" borderId="44" xfId="0" applyFont="1" applyBorder="1" applyAlignment="1">
      <alignment horizontal="center" vertical="center"/>
    </xf>
    <xf numFmtId="0" fontId="13" fillId="44" borderId="0" xfId="0" applyFont="1" applyFill="1" applyAlignment="1">
      <alignment horizontal="center"/>
    </xf>
    <xf numFmtId="0" fontId="1" fillId="0" borderId="40" xfId="59" applyFont="1" applyBorder="1" applyAlignment="1">
      <alignment horizontal="center"/>
      <protection/>
    </xf>
    <xf numFmtId="0" fontId="0" fillId="0" borderId="50" xfId="0" applyBorder="1" applyAlignment="1">
      <alignment/>
    </xf>
    <xf numFmtId="0" fontId="1" fillId="0" borderId="27" xfId="59" applyFont="1" applyBorder="1" applyAlignment="1">
      <alignment horizontal="center"/>
      <protection/>
    </xf>
    <xf numFmtId="0" fontId="0" fillId="0" borderId="16" xfId="0" applyBorder="1" applyAlignment="1">
      <alignment/>
    </xf>
    <xf numFmtId="0" fontId="1" fillId="0" borderId="29" xfId="59" applyFont="1" applyBorder="1" applyAlignment="1">
      <alignment horizontal="center"/>
      <protection/>
    </xf>
    <xf numFmtId="0" fontId="0" fillId="0" borderId="26" xfId="0" applyBorder="1" applyAlignment="1">
      <alignment/>
    </xf>
    <xf numFmtId="41" fontId="6" fillId="33" borderId="16" xfId="59" applyNumberFormat="1" applyFont="1" applyFill="1" applyBorder="1" applyAlignment="1">
      <alignment horizontal="center"/>
      <protection/>
    </xf>
    <xf numFmtId="41" fontId="1" fillId="0" borderId="27" xfId="59" applyNumberFormat="1" applyFont="1" applyFill="1" applyBorder="1" applyAlignment="1">
      <alignment horizontal="center"/>
      <protection/>
    </xf>
    <xf numFmtId="0" fontId="1" fillId="0" borderId="32" xfId="59" applyFont="1" applyBorder="1" applyAlignment="1">
      <alignment horizontal="center"/>
      <protection/>
    </xf>
    <xf numFmtId="0" fontId="0" fillId="0" borderId="51" xfId="0" applyBorder="1" applyAlignment="1">
      <alignment/>
    </xf>
    <xf numFmtId="0" fontId="1" fillId="0" borderId="52" xfId="59" applyFont="1" applyBorder="1" applyAlignment="1">
      <alignment horizontal="center"/>
      <protection/>
    </xf>
    <xf numFmtId="0" fontId="0" fillId="0" borderId="28" xfId="0" applyBorder="1" applyAlignment="1">
      <alignment/>
    </xf>
    <xf numFmtId="0" fontId="0" fillId="0" borderId="53" xfId="0" applyBorder="1" applyAlignment="1">
      <alignment/>
    </xf>
    <xf numFmtId="0" fontId="1" fillId="0" borderId="33" xfId="59" applyFont="1" applyBorder="1" applyAlignment="1">
      <alignment horizontal="center"/>
      <protection/>
    </xf>
    <xf numFmtId="0" fontId="1" fillId="0" borderId="28" xfId="59" applyFont="1" applyBorder="1" applyAlignment="1">
      <alignment horizontal="center"/>
      <protection/>
    </xf>
    <xf numFmtId="0" fontId="1" fillId="0" borderId="16" xfId="59" applyFont="1" applyBorder="1" applyAlignment="1">
      <alignment horizontal="left"/>
      <protection/>
    </xf>
    <xf numFmtId="0" fontId="1" fillId="0" borderId="0" xfId="59" applyFont="1" applyBorder="1" applyAlignment="1">
      <alignment horizontal="center"/>
      <protection/>
    </xf>
    <xf numFmtId="0" fontId="1" fillId="0" borderId="20" xfId="59" applyFont="1" applyBorder="1" applyAlignment="1">
      <alignment horizontal="center"/>
      <protection/>
    </xf>
    <xf numFmtId="41" fontId="1" fillId="0" borderId="34" xfId="59" applyNumberFormat="1" applyFont="1" applyFill="1" applyBorder="1" applyAlignment="1">
      <alignment horizontal="center"/>
      <protection/>
    </xf>
    <xf numFmtId="41" fontId="1" fillId="0" borderId="0" xfId="44" applyNumberFormat="1" applyFont="1" applyFill="1" applyBorder="1" applyAlignment="1">
      <alignment horizontal="center"/>
    </xf>
    <xf numFmtId="0" fontId="1" fillId="0" borderId="0" xfId="59" applyFont="1" applyBorder="1" applyAlignment="1">
      <alignment horizontal="left"/>
      <protection/>
    </xf>
    <xf numFmtId="0" fontId="1" fillId="0" borderId="28" xfId="59" applyFont="1" applyFill="1" applyBorder="1" applyAlignment="1">
      <alignment horizontal="center"/>
      <protection/>
    </xf>
    <xf numFmtId="49" fontId="1" fillId="0" borderId="25" xfId="59" applyNumberFormat="1" applyFont="1" applyBorder="1" applyAlignment="1">
      <alignment horizontal="center"/>
      <protection/>
    </xf>
    <xf numFmtId="0" fontId="0" fillId="0" borderId="52" xfId="0" applyBorder="1" applyAlignment="1">
      <alignment/>
    </xf>
    <xf numFmtId="49" fontId="6" fillId="33" borderId="20" xfId="59" applyNumberFormat="1" applyFont="1" applyFill="1" applyBorder="1" applyAlignment="1">
      <alignment horizontal="center"/>
      <protection/>
    </xf>
    <xf numFmtId="41" fontId="1" fillId="0" borderId="52" xfId="59" applyNumberFormat="1" applyFont="1" applyFill="1" applyBorder="1" applyAlignment="1">
      <alignment horizontal="center"/>
      <protection/>
    </xf>
    <xf numFmtId="215" fontId="6" fillId="0" borderId="13" xfId="59" applyNumberFormat="1" applyFont="1" applyFill="1" applyBorder="1" applyAlignment="1">
      <alignment horizontal="center"/>
      <protection/>
    </xf>
    <xf numFmtId="41" fontId="6" fillId="0" borderId="16" xfId="59" applyNumberFormat="1" applyFont="1" applyFill="1" applyBorder="1" applyAlignment="1">
      <alignment horizontal="center"/>
      <protection/>
    </xf>
    <xf numFmtId="0" fontId="2" fillId="0" borderId="16" xfId="59" applyFont="1" applyBorder="1" applyAlignment="1">
      <alignment horizontal="left"/>
      <protection/>
    </xf>
    <xf numFmtId="0" fontId="1" fillId="0" borderId="20" xfId="59" applyFont="1" applyBorder="1" applyAlignment="1">
      <alignment horizontal="left"/>
      <protection/>
    </xf>
    <xf numFmtId="0" fontId="0" fillId="0" borderId="20" xfId="0" applyBorder="1" applyAlignment="1">
      <alignment/>
    </xf>
    <xf numFmtId="0" fontId="2" fillId="0" borderId="27" xfId="59" applyFont="1" applyBorder="1" applyAlignment="1">
      <alignment horizontal="center"/>
      <protection/>
    </xf>
    <xf numFmtId="0" fontId="2" fillId="0" borderId="13" xfId="59" applyFont="1" applyBorder="1" applyAlignment="1">
      <alignment horizontal="left"/>
      <protection/>
    </xf>
    <xf numFmtId="0" fontId="0" fillId="0" borderId="13" xfId="0" applyBorder="1" applyAlignment="1">
      <alignment/>
    </xf>
    <xf numFmtId="0" fontId="0" fillId="0" borderId="22" xfId="0" applyBorder="1" applyAlignment="1">
      <alignment/>
    </xf>
    <xf numFmtId="15" fontId="1" fillId="0" borderId="0" xfId="59" applyNumberFormat="1" applyFont="1" applyBorder="1" applyAlignment="1">
      <alignment horizontal="center"/>
      <protection/>
    </xf>
    <xf numFmtId="0" fontId="1" fillId="0" borderId="15" xfId="59" applyFont="1" applyBorder="1" applyAlignment="1">
      <alignment horizontal="center"/>
      <protection/>
    </xf>
    <xf numFmtId="0" fontId="0" fillId="0" borderId="31" xfId="0" applyBorder="1" applyAlignment="1">
      <alignment/>
    </xf>
    <xf numFmtId="0" fontId="1" fillId="0" borderId="54" xfId="59" applyFont="1" applyBorder="1" applyAlignment="1">
      <alignment horizontal="center"/>
      <protection/>
    </xf>
    <xf numFmtId="0" fontId="0" fillId="0" borderId="21" xfId="0" applyBorder="1" applyAlignment="1">
      <alignment/>
    </xf>
    <xf numFmtId="0" fontId="1" fillId="0" borderId="0" xfId="59" applyFont="1" applyBorder="1" applyAlignment="1">
      <alignment horizontal="left" wrapText="1"/>
      <protection/>
    </xf>
    <xf numFmtId="0" fontId="0" fillId="0" borderId="0" xfId="0" applyBorder="1" applyAlignment="1">
      <alignment/>
    </xf>
    <xf numFmtId="0" fontId="0" fillId="0" borderId="12" xfId="0" applyBorder="1" applyAlignment="1">
      <alignment/>
    </xf>
    <xf numFmtId="0" fontId="0" fillId="0" borderId="0" xfId="0" applyBorder="1" applyAlignment="1">
      <alignment horizontal="left"/>
    </xf>
    <xf numFmtId="0" fontId="0" fillId="0" borderId="12" xfId="0" applyBorder="1" applyAlignment="1">
      <alignment horizontal="left"/>
    </xf>
    <xf numFmtId="0" fontId="0" fillId="0" borderId="34" xfId="0" applyBorder="1" applyAlignment="1">
      <alignment/>
    </xf>
    <xf numFmtId="0" fontId="15" fillId="0" borderId="16" xfId="59" applyFont="1" applyBorder="1" applyAlignment="1">
      <alignment horizontal="left"/>
      <protection/>
    </xf>
    <xf numFmtId="0" fontId="0" fillId="0" borderId="55" xfId="0" applyBorder="1" applyAlignment="1">
      <alignment/>
    </xf>
    <xf numFmtId="0" fontId="1" fillId="0" borderId="16" xfId="59" applyFont="1" applyFill="1" applyBorder="1" applyAlignment="1">
      <alignment horizontal="center"/>
      <protection/>
    </xf>
    <xf numFmtId="0" fontId="1" fillId="0" borderId="27" xfId="59" applyFont="1" applyFill="1" applyBorder="1" applyAlignment="1">
      <alignment horizontal="center"/>
      <protection/>
    </xf>
    <xf numFmtId="0" fontId="5" fillId="0" borderId="54" xfId="59" applyFont="1" applyBorder="1" applyAlignment="1">
      <alignment horizontal="left"/>
      <protection/>
    </xf>
    <xf numFmtId="0" fontId="1" fillId="0" borderId="0" xfId="59" applyFont="1" applyBorder="1" applyAlignment="1">
      <alignment/>
      <protection/>
    </xf>
    <xf numFmtId="0" fontId="1" fillId="0" borderId="38" xfId="59" applyFont="1" applyBorder="1" applyAlignment="1">
      <alignment horizontal="center"/>
      <protection/>
    </xf>
    <xf numFmtId="0" fontId="0" fillId="0" borderId="39" xfId="0" applyBorder="1" applyAlignment="1">
      <alignment/>
    </xf>
    <xf numFmtId="207" fontId="1" fillId="0" borderId="28" xfId="59" applyNumberFormat="1" applyFont="1" applyBorder="1" applyAlignment="1">
      <alignment horizontal="left"/>
      <protection/>
    </xf>
    <xf numFmtId="0" fontId="2" fillId="0" borderId="14" xfId="59" applyFont="1" applyBorder="1" applyAlignment="1">
      <alignment horizontal="center"/>
      <protection/>
    </xf>
    <xf numFmtId="0" fontId="0" fillId="0" borderId="14" xfId="0" applyBorder="1" applyAlignment="1">
      <alignment/>
    </xf>
    <xf numFmtId="0" fontId="0" fillId="0" borderId="37" xfId="0" applyBorder="1" applyAlignment="1">
      <alignment/>
    </xf>
    <xf numFmtId="0" fontId="2" fillId="0" borderId="54" xfId="59" applyFont="1" applyBorder="1" applyAlignment="1">
      <alignment horizontal="center"/>
      <protection/>
    </xf>
    <xf numFmtId="0" fontId="0" fillId="0" borderId="24" xfId="0" applyBorder="1" applyAlignment="1">
      <alignment/>
    </xf>
    <xf numFmtId="0" fontId="1" fillId="0" borderId="13" xfId="59" applyFont="1" applyBorder="1" applyAlignment="1">
      <alignment horizontal="center"/>
      <protection/>
    </xf>
    <xf numFmtId="41" fontId="1" fillId="0" borderId="0" xfId="59" applyNumberFormat="1" applyFont="1" applyFill="1" applyBorder="1" applyAlignment="1">
      <alignment horizontal="center"/>
      <protection/>
    </xf>
    <xf numFmtId="49" fontId="2" fillId="0" borderId="16" xfId="59" applyNumberFormat="1" applyFont="1" applyBorder="1" applyAlignment="1">
      <alignment horizontal="center"/>
      <protection/>
    </xf>
    <xf numFmtId="41" fontId="1" fillId="0" borderId="56" xfId="59" applyNumberFormat="1" applyFont="1" applyFill="1" applyBorder="1" applyAlignment="1">
      <alignment horizontal="center"/>
      <protection/>
    </xf>
    <xf numFmtId="41" fontId="1" fillId="0" borderId="43" xfId="59" applyNumberFormat="1" applyFont="1" applyFill="1" applyBorder="1" applyAlignment="1">
      <alignment horizontal="center"/>
      <protection/>
    </xf>
    <xf numFmtId="0" fontId="17" fillId="0" borderId="16" xfId="0" applyFont="1" applyBorder="1" applyAlignment="1">
      <alignment/>
    </xf>
    <xf numFmtId="0" fontId="17" fillId="0" borderId="26" xfId="0" applyFont="1" applyBorder="1" applyAlignment="1">
      <alignment/>
    </xf>
    <xf numFmtId="49" fontId="1" fillId="0" borderId="27" xfId="59" applyNumberFormat="1" applyFont="1" applyBorder="1" applyAlignment="1">
      <alignment horizontal="center"/>
      <protection/>
    </xf>
    <xf numFmtId="49" fontId="1" fillId="0" borderId="16" xfId="59" applyNumberFormat="1" applyFont="1" applyBorder="1" applyAlignment="1">
      <alignment horizontal="center"/>
      <protection/>
    </xf>
    <xf numFmtId="0" fontId="1" fillId="0" borderId="16" xfId="59" applyFont="1" applyBorder="1" applyAlignment="1">
      <alignment horizontal="center"/>
      <protection/>
    </xf>
    <xf numFmtId="0" fontId="6" fillId="0" borderId="16" xfId="59" applyFont="1" applyFill="1" applyBorder="1" applyAlignment="1">
      <alignment horizontal="center"/>
      <protection/>
    </xf>
    <xf numFmtId="0" fontId="4" fillId="0" borderId="11" xfId="59" applyFont="1" applyBorder="1" applyAlignment="1">
      <alignment horizontal="center"/>
      <protection/>
    </xf>
    <xf numFmtId="0" fontId="2" fillId="0" borderId="16" xfId="59" applyFont="1" applyBorder="1" applyAlignment="1">
      <alignment horizontal="left" wrapText="1"/>
      <protection/>
    </xf>
    <xf numFmtId="0" fontId="6" fillId="0" borderId="13" xfId="59" applyFont="1" applyFill="1" applyBorder="1" applyAlignment="1">
      <alignment horizontal="center"/>
      <protection/>
    </xf>
    <xf numFmtId="0" fontId="10" fillId="0" borderId="20" xfId="0" applyFont="1" applyBorder="1" applyAlignment="1">
      <alignment/>
    </xf>
    <xf numFmtId="0" fontId="10" fillId="0" borderId="24" xfId="0" applyFont="1" applyBorder="1" applyAlignment="1">
      <alignment/>
    </xf>
    <xf numFmtId="0" fontId="10" fillId="0" borderId="15" xfId="0" applyFont="1" applyBorder="1" applyAlignment="1">
      <alignment/>
    </xf>
    <xf numFmtId="0" fontId="10" fillId="0" borderId="13" xfId="0" applyFont="1" applyBorder="1" applyAlignment="1">
      <alignment/>
    </xf>
    <xf numFmtId="0" fontId="10" fillId="0" borderId="22" xfId="0" applyFont="1" applyBorder="1" applyAlignment="1">
      <alignment/>
    </xf>
    <xf numFmtId="0" fontId="1" fillId="0" borderId="54" xfId="59" applyFont="1" applyFill="1" applyBorder="1" applyAlignment="1">
      <alignment horizontal="center"/>
      <protection/>
    </xf>
    <xf numFmtId="0" fontId="2" fillId="0" borderId="30" xfId="59" applyFont="1" applyBorder="1" applyAlignment="1">
      <alignment horizontal="center"/>
      <protection/>
    </xf>
    <xf numFmtId="0" fontId="10" fillId="0" borderId="57" xfId="0" applyFont="1" applyBorder="1" applyAlignment="1">
      <alignment/>
    </xf>
    <xf numFmtId="0" fontId="2" fillId="0" borderId="25" xfId="59" applyFont="1" applyBorder="1" applyAlignment="1">
      <alignment horizontal="center"/>
      <protection/>
    </xf>
    <xf numFmtId="0" fontId="10" fillId="0" borderId="18" xfId="0" applyFont="1" applyBorder="1" applyAlignment="1">
      <alignment/>
    </xf>
    <xf numFmtId="0" fontId="10" fillId="0" borderId="16" xfId="0" applyFont="1" applyBorder="1" applyAlignment="1">
      <alignment/>
    </xf>
    <xf numFmtId="0" fontId="10" fillId="0" borderId="34" xfId="0" applyFont="1" applyBorder="1" applyAlignment="1">
      <alignment/>
    </xf>
    <xf numFmtId="0" fontId="2" fillId="0" borderId="25" xfId="59" applyFont="1" applyBorder="1" applyAlignment="1">
      <alignment horizontal="center" wrapText="1"/>
      <protection/>
    </xf>
    <xf numFmtId="0" fontId="2" fillId="0" borderId="13" xfId="59" applyFont="1" applyBorder="1" applyAlignment="1">
      <alignment vertical="top"/>
      <protection/>
    </xf>
    <xf numFmtId="0" fontId="7" fillId="0" borderId="28" xfId="59" applyFont="1" applyBorder="1" applyAlignment="1">
      <alignment horizontal="right"/>
      <protection/>
    </xf>
    <xf numFmtId="0" fontId="2" fillId="0" borderId="13" xfId="59" applyFont="1" applyBorder="1" applyAlignment="1">
      <alignment horizontal="center"/>
      <protection/>
    </xf>
    <xf numFmtId="0" fontId="10" fillId="0" borderId="31" xfId="0" applyFont="1" applyBorder="1" applyAlignment="1">
      <alignment/>
    </xf>
    <xf numFmtId="0" fontId="2" fillId="0" borderId="11" xfId="59" applyFont="1" applyBorder="1" applyAlignment="1">
      <alignment horizontal="center"/>
      <protection/>
    </xf>
    <xf numFmtId="0" fontId="3" fillId="0" borderId="14" xfId="59" applyFont="1" applyBorder="1" applyAlignment="1">
      <alignment horizontal="left"/>
      <protection/>
    </xf>
    <xf numFmtId="15" fontId="2" fillId="0" borderId="16" xfId="59" applyNumberFormat="1" applyFont="1" applyBorder="1" applyAlignment="1">
      <alignment horizontal="left"/>
      <protection/>
    </xf>
    <xf numFmtId="0" fontId="10" fillId="0" borderId="16" xfId="0" applyNumberFormat="1" applyFont="1" applyBorder="1" applyAlignment="1">
      <alignment/>
    </xf>
    <xf numFmtId="0" fontId="10" fillId="0" borderId="34" xfId="0" applyNumberFormat="1" applyFont="1" applyBorder="1" applyAlignment="1">
      <alignment/>
    </xf>
    <xf numFmtId="0" fontId="57" fillId="41" borderId="44" xfId="0" applyFont="1" applyFill="1" applyBorder="1" applyAlignment="1">
      <alignment horizontal="center" vertical="center"/>
    </xf>
    <xf numFmtId="0" fontId="30" fillId="41" borderId="44" xfId="0" applyFont="1" applyFill="1" applyBorder="1" applyAlignment="1">
      <alignment horizontal="left" vertical="center"/>
    </xf>
    <xf numFmtId="0" fontId="31" fillId="41" borderId="44" xfId="0" applyFont="1" applyFill="1" applyBorder="1" applyAlignment="1">
      <alignment horizontal="center" vertical="center"/>
    </xf>
    <xf numFmtId="0" fontId="31" fillId="42" borderId="44" xfId="0" applyFont="1" applyFill="1" applyBorder="1" applyAlignment="1">
      <alignment horizontal="center" vertical="center" wrapText="1" shrinkToFit="1"/>
    </xf>
    <xf numFmtId="223" fontId="53" fillId="38" borderId="19" xfId="0" applyNumberFormat="1" applyFont="1" applyFill="1" applyBorder="1" applyAlignment="1">
      <alignment horizontal="right" vertical="center"/>
    </xf>
    <xf numFmtId="223" fontId="53" fillId="38" borderId="0" xfId="0" applyNumberFormat="1" applyFont="1" applyFill="1" applyBorder="1" applyAlignment="1">
      <alignment horizontal="right" vertical="center"/>
    </xf>
    <xf numFmtId="49" fontId="53" fillId="38" borderId="0" xfId="0" applyNumberFormat="1" applyFont="1" applyFill="1" applyBorder="1" applyAlignment="1">
      <alignment horizontal="center" vertical="center"/>
    </xf>
    <xf numFmtId="0" fontId="30" fillId="0" borderId="0" xfId="0" applyFont="1" applyBorder="1" applyAlignment="1">
      <alignment vertical="center" wrapText="1"/>
    </xf>
    <xf numFmtId="0" fontId="30" fillId="0" borderId="0" xfId="0" applyFont="1" applyBorder="1" applyAlignment="1">
      <alignment vertical="center"/>
    </xf>
    <xf numFmtId="0" fontId="31" fillId="34" borderId="0" xfId="0" applyFont="1" applyFill="1" applyBorder="1" applyAlignment="1">
      <alignment horizontal="center" vertical="center"/>
    </xf>
    <xf numFmtId="0" fontId="34" fillId="37" borderId="19" xfId="0" applyFont="1" applyFill="1" applyBorder="1" applyAlignment="1">
      <alignment horizontal="center" vertical="center"/>
    </xf>
    <xf numFmtId="0" fontId="34" fillId="37" borderId="0" xfId="0" applyFont="1" applyFill="1" applyBorder="1" applyAlignment="1">
      <alignment horizontal="center" vertical="center"/>
    </xf>
    <xf numFmtId="3" fontId="30" fillId="41" borderId="44" xfId="0" applyNumberFormat="1" applyFont="1" applyFill="1" applyBorder="1" applyAlignment="1">
      <alignment horizontal="center"/>
    </xf>
    <xf numFmtId="0" fontId="54" fillId="0" borderId="19" xfId="0" applyFont="1" applyBorder="1" applyAlignment="1">
      <alignment horizontal="center"/>
    </xf>
    <xf numFmtId="0" fontId="54" fillId="0" borderId="0" xfId="0" applyFont="1" applyBorder="1" applyAlignment="1">
      <alignment horizontal="center"/>
    </xf>
    <xf numFmtId="0" fontId="54" fillId="0" borderId="23" xfId="0" applyFont="1" applyBorder="1" applyAlignment="1">
      <alignment horizontal="center"/>
    </xf>
    <xf numFmtId="0" fontId="54" fillId="0" borderId="0" xfId="0" applyFont="1" applyAlignment="1">
      <alignment horizontal="center"/>
    </xf>
    <xf numFmtId="0" fontId="80" fillId="0" borderId="19" xfId="0" applyFont="1" applyBorder="1" applyAlignment="1">
      <alignment horizontal="center"/>
    </xf>
    <xf numFmtId="0" fontId="80" fillId="0" borderId="0" xfId="0" applyFont="1" applyBorder="1" applyAlignment="1">
      <alignment horizontal="center"/>
    </xf>
    <xf numFmtId="0" fontId="80" fillId="0" borderId="23" xfId="0" applyFont="1" applyBorder="1" applyAlignment="1">
      <alignment horizontal="center"/>
    </xf>
    <xf numFmtId="3" fontId="82" fillId="7" borderId="0" xfId="0" applyNumberFormat="1" applyFont="1" applyFill="1" applyBorder="1" applyAlignment="1">
      <alignment horizontal="center"/>
    </xf>
    <xf numFmtId="3" fontId="82" fillId="7" borderId="23" xfId="0" applyNumberFormat="1" applyFont="1" applyFill="1" applyBorder="1" applyAlignment="1">
      <alignment horizontal="center"/>
    </xf>
    <xf numFmtId="0" fontId="26" fillId="0" borderId="49" xfId="0" applyFont="1" applyBorder="1" applyAlignment="1">
      <alignment horizontal="center" vertical="center" wrapText="1" shrinkToFit="1"/>
    </xf>
    <xf numFmtId="0" fontId="26" fillId="0" borderId="46" xfId="0" applyFont="1" applyBorder="1" applyAlignment="1">
      <alignment horizontal="center" vertical="center" wrapText="1" shrinkToFit="1"/>
    </xf>
    <xf numFmtId="0" fontId="31" fillId="0" borderId="0" xfId="0" applyFont="1" applyBorder="1" applyAlignment="1">
      <alignment/>
    </xf>
    <xf numFmtId="0" fontId="30" fillId="0" borderId="0" xfId="0" applyFont="1"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SARAL-2D"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SARAL-2D"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2533650</xdr:colOff>
      <xdr:row>34</xdr:row>
      <xdr:rowOff>9525</xdr:rowOff>
    </xdr:from>
    <xdr:to>
      <xdr:col>2</xdr:col>
      <xdr:colOff>9525</xdr:colOff>
      <xdr:row>34</xdr:row>
      <xdr:rowOff>142875</xdr:rowOff>
    </xdr:to>
    <xdr:sp>
      <xdr:nvSpPr>
        <xdr:cNvPr id="1" name="AutoShape 2"/>
        <xdr:cNvSpPr>
          <a:spLocks/>
        </xdr:cNvSpPr>
      </xdr:nvSpPr>
      <xdr:spPr>
        <a:xfrm>
          <a:off x="2533650" y="5238750"/>
          <a:ext cx="504825" cy="133350"/>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incometaxindiaefiling.govt.in/" TargetMode="External" /><Relationship Id="rId2" Type="http://schemas.openxmlformats.org/officeDocument/2006/relationships/comments" Target="../comments4.xml"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incometaxindia.gov.in/"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126"/>
  <sheetViews>
    <sheetView view="pageBreakPreview" zoomScaleSheetLayoutView="100" zoomScalePageLayoutView="0" workbookViewId="0" topLeftCell="A65">
      <selection activeCell="A65" sqref="A1:IV16384"/>
    </sheetView>
  </sheetViews>
  <sheetFormatPr defaultColWidth="9.140625" defaultRowHeight="12.75"/>
  <cols>
    <col min="1" max="1" width="56.8515625" style="158" bestFit="1" customWidth="1"/>
    <col min="2" max="2" width="16.57421875" style="158" bestFit="1" customWidth="1"/>
    <col min="3" max="3" width="15.8515625" style="158" customWidth="1"/>
    <col min="4" max="4" width="0.85546875" style="158" customWidth="1"/>
    <col min="5" max="6" width="15.8515625" style="158" customWidth="1"/>
    <col min="7" max="7" width="17.57421875" style="158" customWidth="1"/>
    <col min="8" max="9" width="7.7109375" style="158" customWidth="1"/>
    <col min="10" max="10" width="8.421875" style="158" customWidth="1"/>
    <col min="11" max="11" width="10.140625" style="158" customWidth="1"/>
    <col min="12" max="14" width="9.140625" style="158" customWidth="1"/>
    <col min="15" max="16384" width="9.140625" style="158" customWidth="1"/>
  </cols>
  <sheetData>
    <row r="1" spans="1:11" ht="15">
      <c r="A1" s="362" t="s">
        <v>181</v>
      </c>
      <c r="B1" s="363"/>
      <c r="C1" s="364"/>
      <c r="D1" s="157"/>
      <c r="E1" s="157"/>
      <c r="F1" s="157"/>
      <c r="G1" s="157"/>
      <c r="J1" s="193"/>
      <c r="K1" s="192"/>
    </row>
    <row r="2" spans="1:6" ht="15">
      <c r="A2" s="361" t="s">
        <v>246</v>
      </c>
      <c r="B2" s="366" t="s">
        <v>211</v>
      </c>
      <c r="C2" s="360"/>
      <c r="D2" s="210"/>
      <c r="E2" s="210"/>
      <c r="F2" s="210"/>
    </row>
    <row r="3" spans="1:11" ht="30.75" customHeight="1">
      <c r="A3" s="361"/>
      <c r="B3" s="366"/>
      <c r="C3" s="360"/>
      <c r="D3" s="211"/>
      <c r="E3" s="211"/>
      <c r="F3" s="211"/>
      <c r="G3" s="358">
        <f ca="1">TODAY()</f>
        <v>41492</v>
      </c>
      <c r="H3" s="359"/>
      <c r="I3" s="359"/>
      <c r="J3" s="357" t="s">
        <v>216</v>
      </c>
      <c r="K3" s="357"/>
    </row>
    <row r="4" spans="1:11" ht="15" customHeight="1">
      <c r="A4" s="361" t="s">
        <v>245</v>
      </c>
      <c r="B4" s="194" t="s">
        <v>209</v>
      </c>
      <c r="C4" s="195"/>
      <c r="D4" s="212"/>
      <c r="E4" s="212"/>
      <c r="F4" s="212"/>
      <c r="G4" s="358"/>
      <c r="H4" s="359"/>
      <c r="I4" s="359"/>
      <c r="J4" s="357"/>
      <c r="K4" s="357"/>
    </row>
    <row r="5" spans="1:11" ht="15" customHeight="1">
      <c r="A5" s="361"/>
      <c r="B5" s="194" t="s">
        <v>210</v>
      </c>
      <c r="C5" s="195" t="s">
        <v>243</v>
      </c>
      <c r="D5" s="212"/>
      <c r="E5" s="212"/>
      <c r="F5" s="212"/>
      <c r="G5" s="358"/>
      <c r="H5" s="359"/>
      <c r="I5" s="359"/>
      <c r="J5" s="357"/>
      <c r="K5" s="357"/>
    </row>
    <row r="6" spans="1:11" ht="15" customHeight="1">
      <c r="A6" s="159"/>
      <c r="B6" s="160" t="s">
        <v>9</v>
      </c>
      <c r="C6" s="160" t="s">
        <v>9</v>
      </c>
      <c r="D6" s="213"/>
      <c r="E6" s="213"/>
      <c r="F6" s="213"/>
      <c r="G6" s="358"/>
      <c r="H6" s="359"/>
      <c r="I6" s="359"/>
      <c r="J6" s="357"/>
      <c r="K6" s="357"/>
    </row>
    <row r="7" spans="1:11" ht="15" customHeight="1">
      <c r="A7" s="161" t="s">
        <v>161</v>
      </c>
      <c r="B7" s="173"/>
      <c r="C7" s="173"/>
      <c r="D7" s="176"/>
      <c r="E7" s="176"/>
      <c r="F7" s="176"/>
      <c r="G7" s="358"/>
      <c r="H7" s="359"/>
      <c r="I7" s="359"/>
      <c r="J7" s="357"/>
      <c r="K7" s="357"/>
    </row>
    <row r="8" spans="1:11" ht="15" customHeight="1">
      <c r="A8" s="159"/>
      <c r="B8" s="173"/>
      <c r="C8" s="173"/>
      <c r="D8" s="176"/>
      <c r="E8" s="176"/>
      <c r="F8" s="176"/>
      <c r="G8" s="358"/>
      <c r="H8" s="359"/>
      <c r="I8" s="359"/>
      <c r="J8" s="357"/>
      <c r="K8" s="357"/>
    </row>
    <row r="9" spans="1:11" ht="15" customHeight="1">
      <c r="A9" s="162" t="s">
        <v>242</v>
      </c>
      <c r="B9" s="173">
        <v>313061</v>
      </c>
      <c r="C9" s="173"/>
      <c r="D9" s="176"/>
      <c r="E9" s="176"/>
      <c r="F9" s="176"/>
      <c r="G9" s="358"/>
      <c r="H9" s="359"/>
      <c r="I9" s="359"/>
      <c r="J9" s="357"/>
      <c r="K9" s="357"/>
    </row>
    <row r="10" spans="1:11" ht="15" customHeight="1">
      <c r="A10" s="162" t="s">
        <v>242</v>
      </c>
      <c r="B10" s="173">
        <v>120019</v>
      </c>
      <c r="C10" s="173"/>
      <c r="D10" s="176"/>
      <c r="E10" s="176"/>
      <c r="F10" s="176"/>
      <c r="G10" s="358"/>
      <c r="H10" s="359"/>
      <c r="I10" s="359"/>
      <c r="J10" s="357"/>
      <c r="K10" s="357"/>
    </row>
    <row r="11" spans="1:9" ht="15">
      <c r="A11" s="162" t="s">
        <v>217</v>
      </c>
      <c r="B11" s="174">
        <v>-12143</v>
      </c>
      <c r="C11" s="173"/>
      <c r="D11" s="183"/>
      <c r="E11" s="183"/>
      <c r="F11" s="183"/>
      <c r="H11" s="163"/>
      <c r="I11" s="164"/>
    </row>
    <row r="12" spans="1:6" ht="15">
      <c r="A12" s="159"/>
      <c r="B12" s="173"/>
      <c r="C12" s="173">
        <f>SUM(B9:B11)</f>
        <v>420937</v>
      </c>
      <c r="D12" s="183"/>
      <c r="E12" s="183"/>
      <c r="F12" s="183"/>
    </row>
    <row r="13" spans="1:6" ht="15">
      <c r="A13" s="161" t="s">
        <v>162</v>
      </c>
      <c r="B13" s="173"/>
      <c r="C13" s="173"/>
      <c r="D13" s="183"/>
      <c r="E13" s="183"/>
      <c r="F13" s="183"/>
    </row>
    <row r="14" spans="1:6" ht="15">
      <c r="A14" s="159"/>
      <c r="B14" s="173"/>
      <c r="C14" s="173"/>
      <c r="D14" s="183"/>
      <c r="E14" s="183"/>
      <c r="F14" s="183"/>
    </row>
    <row r="15" spans="1:6" ht="15">
      <c r="A15" s="159" t="s">
        <v>218</v>
      </c>
      <c r="B15" s="174">
        <v>0</v>
      </c>
      <c r="C15" s="173"/>
      <c r="D15" s="183"/>
      <c r="E15" s="183"/>
      <c r="F15" s="183"/>
    </row>
    <row r="16" spans="1:6" ht="15">
      <c r="A16" s="165" t="s">
        <v>204</v>
      </c>
      <c r="B16" s="173">
        <f>SUM(B15:B15)</f>
        <v>0</v>
      </c>
      <c r="C16" s="173"/>
      <c r="D16" s="183"/>
      <c r="E16" s="183"/>
      <c r="F16" s="183"/>
    </row>
    <row r="17" spans="1:6" ht="15">
      <c r="A17" s="159" t="s">
        <v>205</v>
      </c>
      <c r="B17" s="174">
        <v>0</v>
      </c>
      <c r="C17" s="173"/>
      <c r="D17" s="183"/>
      <c r="E17" s="183"/>
      <c r="F17" s="183"/>
    </row>
    <row r="18" spans="1:6" ht="15">
      <c r="A18" s="165" t="s">
        <v>206</v>
      </c>
      <c r="B18" s="173">
        <f>+B16-B17</f>
        <v>0</v>
      </c>
      <c r="C18" s="173"/>
      <c r="D18" s="183"/>
      <c r="E18" s="183"/>
      <c r="F18" s="183"/>
    </row>
    <row r="19" spans="1:6" ht="15">
      <c r="A19" s="161" t="s">
        <v>219</v>
      </c>
      <c r="B19" s="173"/>
      <c r="C19" s="173"/>
      <c r="D19" s="183"/>
      <c r="E19" s="183"/>
      <c r="F19" s="183"/>
    </row>
    <row r="20" spans="1:6" ht="15">
      <c r="A20" s="159" t="s">
        <v>207</v>
      </c>
      <c r="B20" s="173">
        <f>+ROUND(B18*0.3,0)</f>
        <v>0</v>
      </c>
      <c r="C20" s="173"/>
      <c r="D20" s="183"/>
      <c r="E20" s="183"/>
      <c r="F20" s="183"/>
    </row>
    <row r="21" spans="1:6" ht="15">
      <c r="A21" s="159" t="s">
        <v>220</v>
      </c>
      <c r="B21" s="174">
        <v>0</v>
      </c>
      <c r="C21" s="173"/>
      <c r="D21" s="183"/>
      <c r="E21" s="183"/>
      <c r="F21" s="183"/>
    </row>
    <row r="22" spans="1:6" ht="15">
      <c r="A22" s="159"/>
      <c r="B22" s="175">
        <f>B18-SUM(B20:B21)</f>
        <v>0</v>
      </c>
      <c r="C22" s="173"/>
      <c r="D22" s="183"/>
      <c r="E22" s="183"/>
      <c r="F22" s="183"/>
    </row>
    <row r="23" spans="1:6" ht="15">
      <c r="A23" s="165" t="s">
        <v>163</v>
      </c>
      <c r="B23" s="182">
        <v>0</v>
      </c>
      <c r="C23" s="174">
        <f>B23+B22</f>
        <v>0</v>
      </c>
      <c r="D23" s="183"/>
      <c r="E23" s="183"/>
      <c r="F23" s="183"/>
    </row>
    <row r="24" spans="1:6" ht="15">
      <c r="A24" s="159"/>
      <c r="B24" s="173"/>
      <c r="C24" s="173"/>
      <c r="D24" s="183"/>
      <c r="E24" s="183"/>
      <c r="F24" s="183"/>
    </row>
    <row r="25" spans="1:6" ht="15">
      <c r="A25" s="161" t="s">
        <v>177</v>
      </c>
      <c r="B25" s="173"/>
      <c r="C25" s="173"/>
      <c r="D25" s="183"/>
      <c r="E25" s="183"/>
      <c r="F25" s="183"/>
    </row>
    <row r="26" spans="1:6" ht="15">
      <c r="A26" s="159" t="s">
        <v>185</v>
      </c>
      <c r="B26" s="173">
        <v>0</v>
      </c>
      <c r="C26" s="173"/>
      <c r="D26" s="183"/>
      <c r="E26" s="183"/>
      <c r="F26" s="183"/>
    </row>
    <row r="27" spans="1:6" ht="15">
      <c r="A27" s="159" t="s">
        <v>221</v>
      </c>
      <c r="B27" s="174">
        <v>0</v>
      </c>
      <c r="C27" s="173">
        <f>SUM(B26:B27)</f>
        <v>0</v>
      </c>
      <c r="D27" s="183"/>
      <c r="E27" s="183"/>
      <c r="F27" s="183"/>
    </row>
    <row r="28" spans="1:6" ht="15">
      <c r="A28" s="159"/>
      <c r="B28" s="173"/>
      <c r="C28" s="173"/>
      <c r="D28" s="183"/>
      <c r="E28" s="183"/>
      <c r="F28" s="183"/>
    </row>
    <row r="29" spans="1:6" ht="15">
      <c r="A29" s="161" t="s">
        <v>230</v>
      </c>
      <c r="B29" s="173"/>
      <c r="C29" s="173"/>
      <c r="D29" s="183"/>
      <c r="E29" s="183"/>
      <c r="F29" s="183"/>
    </row>
    <row r="30" spans="1:6" ht="15">
      <c r="A30" s="200" t="s">
        <v>232</v>
      </c>
      <c r="B30" s="197">
        <v>0</v>
      </c>
      <c r="C30" s="173"/>
      <c r="D30" s="183"/>
      <c r="E30" s="183"/>
      <c r="F30" s="183"/>
    </row>
    <row r="31" spans="1:6" ht="15">
      <c r="A31" s="200" t="s">
        <v>231</v>
      </c>
      <c r="B31" s="205">
        <v>0</v>
      </c>
      <c r="C31" s="173">
        <f>B30-B31</f>
        <v>0</v>
      </c>
      <c r="D31" s="183"/>
      <c r="E31" s="183"/>
      <c r="F31" s="183"/>
    </row>
    <row r="32" spans="1:6" ht="15">
      <c r="A32" s="159"/>
      <c r="B32" s="173"/>
      <c r="C32" s="173"/>
      <c r="D32" s="183"/>
      <c r="E32" s="183"/>
      <c r="F32" s="183"/>
    </row>
    <row r="33" spans="1:6" ht="15">
      <c r="A33" s="161" t="s">
        <v>182</v>
      </c>
      <c r="B33" s="173"/>
      <c r="C33" s="173"/>
      <c r="D33" s="183"/>
      <c r="E33" s="183"/>
      <c r="F33" s="183"/>
    </row>
    <row r="34" spans="1:6" ht="15">
      <c r="A34" s="159" t="s">
        <v>222</v>
      </c>
      <c r="B34" s="173">
        <v>0</v>
      </c>
      <c r="C34" s="173"/>
      <c r="D34" s="183"/>
      <c r="E34" s="183"/>
      <c r="F34" s="183"/>
    </row>
    <row r="35" spans="1:6" ht="15">
      <c r="A35" s="159" t="s">
        <v>223</v>
      </c>
      <c r="B35" s="174">
        <v>0</v>
      </c>
      <c r="C35" s="174">
        <f>SUM(B34:B35)</f>
        <v>0</v>
      </c>
      <c r="D35" s="183"/>
      <c r="E35" s="183"/>
      <c r="F35" s="183"/>
    </row>
    <row r="36" spans="1:6" ht="15">
      <c r="A36" s="196" t="s">
        <v>236</v>
      </c>
      <c r="B36" s="197"/>
      <c r="C36" s="175">
        <f>SUM(C7:C35)</f>
        <v>420937</v>
      </c>
      <c r="D36" s="208"/>
      <c r="E36" s="208"/>
      <c r="F36" s="208"/>
    </row>
    <row r="37" spans="1:6" ht="15">
      <c r="A37" s="198"/>
      <c r="B37" s="197"/>
      <c r="C37" s="175"/>
      <c r="D37" s="208"/>
      <c r="E37" s="208"/>
      <c r="F37" s="208"/>
    </row>
    <row r="38" spans="1:6" ht="15">
      <c r="A38" s="199" t="s">
        <v>233</v>
      </c>
      <c r="B38" s="197"/>
      <c r="C38" s="175"/>
      <c r="D38" s="208"/>
      <c r="E38" s="208"/>
      <c r="F38" s="208"/>
    </row>
    <row r="39" spans="1:6" ht="15">
      <c r="A39" s="200" t="s">
        <v>224</v>
      </c>
      <c r="B39" s="206">
        <v>0</v>
      </c>
      <c r="C39" s="175"/>
      <c r="D39" s="208"/>
      <c r="E39" s="208"/>
      <c r="F39" s="208"/>
    </row>
    <row r="40" spans="1:6" ht="15.75" thickBot="1">
      <c r="A40" s="200" t="s">
        <v>225</v>
      </c>
      <c r="B40" s="197">
        <v>0</v>
      </c>
      <c r="C40" s="175"/>
      <c r="D40" s="208"/>
      <c r="E40" s="208"/>
      <c r="F40" s="208"/>
    </row>
    <row r="41" spans="1:6" ht="15.75" thickBot="1">
      <c r="A41" s="200" t="s">
        <v>238</v>
      </c>
      <c r="B41" s="201">
        <f>+B39-B40</f>
        <v>0</v>
      </c>
      <c r="C41" s="175"/>
      <c r="D41" s="208"/>
      <c r="E41" s="208"/>
      <c r="F41" s="208"/>
    </row>
    <row r="42" spans="1:6" ht="15">
      <c r="A42" s="200"/>
      <c r="B42" s="202"/>
      <c r="C42" s="175"/>
      <c r="D42" s="208"/>
      <c r="E42" s="208"/>
      <c r="F42" s="208"/>
    </row>
    <row r="43" spans="1:6" ht="15">
      <c r="A43" s="199" t="s">
        <v>226</v>
      </c>
      <c r="B43" s="197"/>
      <c r="C43" s="175"/>
      <c r="D43" s="208"/>
      <c r="E43" s="208"/>
      <c r="F43" s="208"/>
    </row>
    <row r="44" spans="1:6" ht="15">
      <c r="A44" s="200" t="s">
        <v>227</v>
      </c>
      <c r="B44" s="197">
        <v>0</v>
      </c>
      <c r="C44" s="175"/>
      <c r="D44" s="208"/>
      <c r="E44" s="208"/>
      <c r="F44" s="208"/>
    </row>
    <row r="45" spans="1:6" ht="15.75" thickBot="1">
      <c r="A45" s="200" t="s">
        <v>228</v>
      </c>
      <c r="B45" s="203">
        <v>0</v>
      </c>
      <c r="C45" s="175"/>
      <c r="D45" s="208"/>
      <c r="E45" s="208"/>
      <c r="F45" s="208"/>
    </row>
    <row r="46" spans="1:6" ht="15.75" thickBot="1">
      <c r="A46" s="200" t="s">
        <v>229</v>
      </c>
      <c r="B46" s="204">
        <f>+B44-B45</f>
        <v>0</v>
      </c>
      <c r="C46" s="175"/>
      <c r="D46" s="208"/>
      <c r="E46" s="208"/>
      <c r="F46" s="208"/>
    </row>
    <row r="47" spans="1:6" ht="15">
      <c r="A47" s="165"/>
      <c r="B47" s="173"/>
      <c r="C47" s="175"/>
      <c r="D47" s="208"/>
      <c r="E47" s="208"/>
      <c r="F47" s="208"/>
    </row>
    <row r="48" spans="1:6" ht="15">
      <c r="A48" s="161" t="s">
        <v>164</v>
      </c>
      <c r="B48" s="173"/>
      <c r="C48" s="173"/>
      <c r="D48" s="183"/>
      <c r="E48" s="183"/>
      <c r="F48" s="183"/>
    </row>
    <row r="49" spans="1:6" ht="15">
      <c r="A49" s="159" t="s">
        <v>165</v>
      </c>
      <c r="B49" s="206">
        <f>79852-304</f>
        <v>79548</v>
      </c>
      <c r="C49" s="173"/>
      <c r="D49" s="183"/>
      <c r="E49" s="183"/>
      <c r="F49" s="183"/>
    </row>
    <row r="50" spans="1:6" ht="15">
      <c r="A50" s="159" t="s">
        <v>188</v>
      </c>
      <c r="B50" s="173">
        <v>6429</v>
      </c>
      <c r="C50" s="173"/>
      <c r="D50" s="183"/>
      <c r="E50" s="183"/>
      <c r="F50" s="183"/>
    </row>
    <row r="51" spans="1:6" ht="15">
      <c r="A51" s="159" t="s">
        <v>189</v>
      </c>
      <c r="B51" s="173">
        <v>0</v>
      </c>
      <c r="C51" s="173"/>
      <c r="D51" s="183"/>
      <c r="E51" s="183"/>
      <c r="F51" s="183"/>
    </row>
    <row r="52" spans="1:10" ht="15">
      <c r="A52" s="159" t="s">
        <v>184</v>
      </c>
      <c r="B52" s="174">
        <v>0</v>
      </c>
      <c r="C52" s="173"/>
      <c r="D52" s="183"/>
      <c r="E52" s="183"/>
      <c r="F52" s="183"/>
      <c r="J52" s="166"/>
    </row>
    <row r="53" spans="1:6" ht="15">
      <c r="A53" s="159"/>
      <c r="B53" s="175">
        <f>MIN(SUM(B49:B52),100000)</f>
        <v>85977</v>
      </c>
      <c r="C53" s="173"/>
      <c r="D53" s="183"/>
      <c r="E53" s="183"/>
      <c r="F53" s="183"/>
    </row>
    <row r="54" spans="1:6" ht="15">
      <c r="A54" s="159" t="s">
        <v>183</v>
      </c>
      <c r="B54" s="173">
        <v>304</v>
      </c>
      <c r="C54" s="173">
        <v>0</v>
      </c>
      <c r="D54" s="183"/>
      <c r="E54" s="183"/>
      <c r="F54" s="183"/>
    </row>
    <row r="55" spans="1:6" ht="15">
      <c r="A55" s="159" t="s">
        <v>203</v>
      </c>
      <c r="B55" s="173">
        <v>0</v>
      </c>
      <c r="C55" s="173"/>
      <c r="D55" s="183"/>
      <c r="E55" s="183"/>
      <c r="F55" s="183"/>
    </row>
    <row r="56" spans="1:6" ht="15.75" thickBot="1">
      <c r="A56" s="159" t="s">
        <v>191</v>
      </c>
      <c r="B56" s="174">
        <v>0</v>
      </c>
      <c r="C56" s="174">
        <f>+SUM(B53:B56)</f>
        <v>86281</v>
      </c>
      <c r="D56" s="183"/>
      <c r="E56" s="183"/>
      <c r="F56" s="183"/>
    </row>
    <row r="57" spans="1:6" ht="15.75" thickBot="1">
      <c r="A57" s="207" t="s">
        <v>234</v>
      </c>
      <c r="B57" s="176"/>
      <c r="C57" s="177">
        <f>+C36-C56</f>
        <v>334656</v>
      </c>
      <c r="D57" s="208"/>
      <c r="E57" s="208"/>
      <c r="F57" s="208"/>
    </row>
    <row r="58" spans="1:6" ht="15.75" thickBot="1">
      <c r="A58" s="207"/>
      <c r="B58" s="176"/>
      <c r="C58" s="208"/>
      <c r="D58" s="208"/>
      <c r="E58" s="208"/>
      <c r="F58" s="208"/>
    </row>
    <row r="59" spans="1:6" ht="15.75" thickBot="1">
      <c r="A59" s="207" t="s">
        <v>235</v>
      </c>
      <c r="B59" s="219"/>
      <c r="C59" s="209">
        <f>C57+B46+B41</f>
        <v>334656</v>
      </c>
      <c r="D59" s="214"/>
      <c r="E59" s="214"/>
      <c r="F59" s="214"/>
    </row>
    <row r="60" spans="1:10" ht="17.25">
      <c r="A60" s="362" t="s">
        <v>247</v>
      </c>
      <c r="B60" s="363"/>
      <c r="C60" s="364"/>
      <c r="D60" s="157"/>
      <c r="E60" s="157"/>
      <c r="F60" s="157"/>
      <c r="H60" s="365" t="s">
        <v>214</v>
      </c>
      <c r="I60" s="365"/>
      <c r="J60" s="365"/>
    </row>
    <row r="61" spans="1:11" ht="15">
      <c r="A61" s="197" t="s">
        <v>237</v>
      </c>
      <c r="B61" s="219"/>
      <c r="C61" s="178">
        <f>ROUND(IF(C5="M",IF(C57&lt;160000,0,IF(C57&lt;500000,((C57-160000)*0.1),IF(C57&lt;800000,(((C57-500000)*0.2)+34000),(((C57-800000)*0.3)+94000)))),IF(C5="F",IF(C57&lt;190000,0,IF(C57&lt;500000,((C57-190000)*0.1),IF(C57&lt;800000,(((C57-500000)*0.2)+31000),(((C57-800000)*0.3)+91000)))),"Please enter sex in data sheet")),0)</f>
        <v>17466</v>
      </c>
      <c r="D61" s="184"/>
      <c r="E61" s="184"/>
      <c r="F61" s="184"/>
      <c r="G61" s="190"/>
      <c r="H61" s="188">
        <v>42248</v>
      </c>
      <c r="I61" s="188">
        <v>42339</v>
      </c>
      <c r="J61" s="188">
        <v>42064</v>
      </c>
      <c r="K61" s="168" t="s">
        <v>45</v>
      </c>
    </row>
    <row r="62" spans="1:16" ht="15">
      <c r="A62" s="197" t="s">
        <v>239</v>
      </c>
      <c r="B62" s="219"/>
      <c r="C62" s="178">
        <f>ROUND(B41*0.15,0)</f>
        <v>0</v>
      </c>
      <c r="D62" s="184"/>
      <c r="E62" s="184"/>
      <c r="F62" s="184"/>
      <c r="G62" s="190"/>
      <c r="H62" s="188"/>
      <c r="I62" s="188"/>
      <c r="J62" s="188"/>
      <c r="K62" s="168"/>
      <c r="P62" s="218"/>
    </row>
    <row r="63" spans="1:11" ht="15">
      <c r="A63" s="217" t="s">
        <v>244</v>
      </c>
      <c r="B63" s="197"/>
      <c r="C63" s="179">
        <f>ROUND(B46*0.2,0)</f>
        <v>0</v>
      </c>
      <c r="D63" s="184"/>
      <c r="E63" s="184"/>
      <c r="F63" s="184"/>
      <c r="G63" s="190"/>
      <c r="H63" s="188"/>
      <c r="I63" s="188"/>
      <c r="J63" s="188"/>
      <c r="K63" s="168"/>
    </row>
    <row r="64" spans="1:11" ht="15">
      <c r="A64" s="159"/>
      <c r="B64" s="178"/>
      <c r="C64" s="178">
        <f>SUM(C61:C63)</f>
        <v>17466</v>
      </c>
      <c r="D64" s="184"/>
      <c r="E64" s="184"/>
      <c r="F64" s="184"/>
      <c r="G64" s="190"/>
      <c r="H64" s="188"/>
      <c r="I64" s="188"/>
      <c r="J64" s="188"/>
      <c r="K64" s="168"/>
    </row>
    <row r="65" spans="1:11" ht="15">
      <c r="A65" s="159" t="s">
        <v>178</v>
      </c>
      <c r="B65" s="178"/>
      <c r="C65" s="179">
        <f>+ROUND(IF(C59&gt;1000000,IF(C59&lt;1030590,((C59-1000000)*70%),C64*0)),0)</f>
        <v>0</v>
      </c>
      <c r="D65" s="184"/>
      <c r="E65" s="184"/>
      <c r="F65" s="184"/>
      <c r="H65" s="167"/>
      <c r="I65" s="167"/>
      <c r="J65" s="167"/>
      <c r="K65" s="168"/>
    </row>
    <row r="66" spans="1:11" ht="15">
      <c r="A66" s="159"/>
      <c r="B66" s="178"/>
      <c r="C66" s="178">
        <f>+C65+C64</f>
        <v>17466</v>
      </c>
      <c r="D66" s="184"/>
      <c r="E66" s="184"/>
      <c r="F66" s="184"/>
      <c r="H66" s="167"/>
      <c r="I66" s="167"/>
      <c r="J66" s="167"/>
      <c r="K66" s="168"/>
    </row>
    <row r="67" spans="1:11" ht="15">
      <c r="A67" s="159" t="s">
        <v>167</v>
      </c>
      <c r="B67" s="178"/>
      <c r="C67" s="179">
        <f>ROUND(C66*0.03,0)</f>
        <v>524</v>
      </c>
      <c r="D67" s="184"/>
      <c r="E67" s="184"/>
      <c r="F67" s="184"/>
      <c r="G67" s="169" t="s">
        <v>173</v>
      </c>
      <c r="H67" s="158">
        <v>5000</v>
      </c>
      <c r="I67" s="158">
        <f>H67+4000</f>
        <v>9000</v>
      </c>
      <c r="J67" s="158">
        <f>I67+3000</f>
        <v>12000</v>
      </c>
      <c r="K67" s="158">
        <f>+C71-J67</f>
        <v>-3826</v>
      </c>
    </row>
    <row r="68" spans="1:10" ht="15">
      <c r="A68" s="159"/>
      <c r="B68" s="178"/>
      <c r="C68" s="180">
        <f>+C67+C66</f>
        <v>17990</v>
      </c>
      <c r="D68" s="215"/>
      <c r="E68" s="215"/>
      <c r="F68" s="215"/>
      <c r="G68" s="169" t="s">
        <v>174</v>
      </c>
      <c r="H68" s="170">
        <v>0.3</v>
      </c>
      <c r="I68" s="170">
        <v>0.6</v>
      </c>
      <c r="J68" s="170">
        <v>1</v>
      </c>
    </row>
    <row r="69" spans="1:10" ht="15">
      <c r="A69" s="159" t="s">
        <v>199</v>
      </c>
      <c r="B69" s="178"/>
      <c r="C69" s="179">
        <v>0</v>
      </c>
      <c r="D69" s="184"/>
      <c r="E69" s="184"/>
      <c r="F69" s="184"/>
      <c r="G69" s="169" t="s">
        <v>27</v>
      </c>
      <c r="H69" s="184">
        <f>+C68*H68</f>
        <v>5397</v>
      </c>
      <c r="I69" s="184">
        <f>+C68*I68</f>
        <v>10794</v>
      </c>
      <c r="J69" s="184">
        <f>+C68*J68</f>
        <v>17990</v>
      </c>
    </row>
    <row r="70" spans="1:10" ht="15">
      <c r="A70" s="159"/>
      <c r="B70" s="178"/>
      <c r="C70" s="180">
        <f>+C68-C69</f>
        <v>17990</v>
      </c>
      <c r="D70" s="215"/>
      <c r="E70" s="215"/>
      <c r="F70" s="215"/>
      <c r="G70" s="169" t="s">
        <v>176</v>
      </c>
      <c r="H70" s="184">
        <f>+IF(H67&gt;H69,0,H69-H67)</f>
        <v>397</v>
      </c>
      <c r="I70" s="184">
        <f>+IF(I67&gt;I69,0,I69-I67)</f>
        <v>1794</v>
      </c>
      <c r="J70" s="184">
        <f>+IF(J67&gt;J69,0,J69-J67)</f>
        <v>5990</v>
      </c>
    </row>
    <row r="71" spans="1:7" ht="15">
      <c r="A71" s="159" t="s">
        <v>166</v>
      </c>
      <c r="B71" s="178"/>
      <c r="C71" s="179">
        <f>7556+618</f>
        <v>8174</v>
      </c>
      <c r="D71" s="184"/>
      <c r="E71" s="184"/>
      <c r="F71" s="184"/>
      <c r="G71" s="169"/>
    </row>
    <row r="72" spans="1:11" ht="15">
      <c r="A72" s="159"/>
      <c r="B72" s="178"/>
      <c r="C72" s="180">
        <f>+C70-C71</f>
        <v>9816</v>
      </c>
      <c r="D72" s="215"/>
      <c r="E72" s="215"/>
      <c r="F72" s="215"/>
      <c r="G72" s="169" t="s">
        <v>175</v>
      </c>
      <c r="H72" s="158">
        <f>+(H70*0.01)*3</f>
        <v>11.91</v>
      </c>
      <c r="I72" s="183">
        <f>+(I70*0.01)*3</f>
        <v>53.82000000000001</v>
      </c>
      <c r="J72" s="183">
        <f>+(J70*0.01)*1</f>
        <v>59.9</v>
      </c>
      <c r="K72" s="183">
        <f>+J72+I72+H72</f>
        <v>125.63</v>
      </c>
    </row>
    <row r="73" spans="1:6" ht="15">
      <c r="A73" s="159" t="s">
        <v>190</v>
      </c>
      <c r="B73" s="178"/>
      <c r="C73" s="178">
        <f>+ROUND(IF(C72&gt;0,C72*0%,0),0)</f>
        <v>0</v>
      </c>
      <c r="D73" s="184"/>
      <c r="E73" s="184"/>
      <c r="F73" s="184"/>
    </row>
    <row r="74" spans="1:10" ht="15">
      <c r="A74" s="159" t="s">
        <v>168</v>
      </c>
      <c r="B74" s="178"/>
      <c r="C74" s="178">
        <f>ROUND(IF(J74&lt;0.9,IF(J74&gt;0,IF(C68&gt;10000,(C72*0.01)*4,0))),0)</f>
        <v>393</v>
      </c>
      <c r="D74" s="216"/>
      <c r="E74" s="216"/>
      <c r="F74" s="216"/>
      <c r="G74" s="355" t="s">
        <v>215</v>
      </c>
      <c r="H74" s="356"/>
      <c r="I74" s="356"/>
      <c r="J74" s="191">
        <f>+IF(C68&gt;0,C71/C68,0)</f>
        <v>0.45436353529738743</v>
      </c>
    </row>
    <row r="75" spans="1:7" ht="15">
      <c r="A75" s="159" t="s">
        <v>169</v>
      </c>
      <c r="B75" s="178"/>
      <c r="C75" s="179">
        <f>+ROUND(IF(C68&gt;10000,IF(C72&gt;0,C72*3.7%,0)),0)</f>
        <v>363</v>
      </c>
      <c r="D75" s="184"/>
      <c r="E75" s="184"/>
      <c r="F75" s="184"/>
      <c r="G75" s="189"/>
    </row>
    <row r="76" spans="1:6" ht="15">
      <c r="A76" s="159" t="s">
        <v>170</v>
      </c>
      <c r="B76" s="178"/>
      <c r="C76" s="180">
        <f>SUM(C72:C75)</f>
        <v>10572</v>
      </c>
      <c r="D76" s="215"/>
      <c r="E76" s="215"/>
      <c r="F76" s="215"/>
    </row>
    <row r="77" spans="1:6" ht="15">
      <c r="A77" s="159" t="s">
        <v>171</v>
      </c>
      <c r="B77" s="178"/>
      <c r="C77" s="181">
        <f>+IF(C76&gt;0,C76,0)</f>
        <v>10572</v>
      </c>
      <c r="D77" s="215"/>
      <c r="E77" s="215"/>
      <c r="F77" s="215"/>
    </row>
    <row r="78" spans="1:7" ht="15">
      <c r="A78" s="171" t="s">
        <v>172</v>
      </c>
      <c r="B78" s="179"/>
      <c r="C78" s="181">
        <f>+C76-C77</f>
        <v>0</v>
      </c>
      <c r="D78" s="215"/>
      <c r="E78" s="215"/>
      <c r="F78" s="215"/>
      <c r="G78" s="185"/>
    </row>
    <row r="79" ht="15">
      <c r="A79" s="169"/>
    </row>
    <row r="81" ht="15">
      <c r="A81" s="167" t="s">
        <v>200</v>
      </c>
    </row>
    <row r="82" spans="1:6" ht="15">
      <c r="A82" s="158" t="s">
        <v>192</v>
      </c>
      <c r="B82" s="158" t="s">
        <v>193</v>
      </c>
      <c r="C82" s="172">
        <v>0</v>
      </c>
      <c r="D82" s="172"/>
      <c r="E82" s="172"/>
      <c r="F82" s="172"/>
    </row>
    <row r="83" spans="1:6" ht="15">
      <c r="A83" s="158" t="s">
        <v>194</v>
      </c>
      <c r="B83" s="158" t="s">
        <v>195</v>
      </c>
      <c r="C83" s="172">
        <v>0</v>
      </c>
      <c r="D83" s="172"/>
      <c r="E83" s="172"/>
      <c r="F83" s="172"/>
    </row>
    <row r="84" ht="15">
      <c r="A84" s="158" t="s">
        <v>196</v>
      </c>
    </row>
    <row r="85" spans="1:6" ht="15">
      <c r="A85" s="158" t="s">
        <v>197</v>
      </c>
      <c r="B85" s="158" t="s">
        <v>198</v>
      </c>
      <c r="C85" s="169">
        <v>0</v>
      </c>
      <c r="D85" s="169"/>
      <c r="E85" s="169"/>
      <c r="F85" s="169"/>
    </row>
    <row r="91" ht="15">
      <c r="C91" s="158">
        <f>103391-62500</f>
        <v>40891</v>
      </c>
    </row>
    <row r="97" ht="15">
      <c r="G97" s="183"/>
    </row>
    <row r="123" spans="2:3" ht="15">
      <c r="B123" s="158">
        <v>6000</v>
      </c>
      <c r="C123" s="158">
        <f>B123*7</f>
        <v>42000</v>
      </c>
    </row>
    <row r="124" ht="15">
      <c r="C124" s="158">
        <f>79467*10%</f>
        <v>7946.700000000001</v>
      </c>
    </row>
    <row r="125" spans="2:3" ht="15">
      <c r="B125" s="158" t="s">
        <v>248</v>
      </c>
      <c r="C125" s="158">
        <f>C123-C124</f>
        <v>34053.3</v>
      </c>
    </row>
    <row r="126" spans="2:3" ht="15">
      <c r="B126" s="158" t="s">
        <v>249</v>
      </c>
      <c r="C126" s="158">
        <f>C124*10*40%</f>
        <v>31786.800000000003</v>
      </c>
    </row>
  </sheetData>
  <sheetProtection/>
  <mergeCells count="10">
    <mergeCell ref="G74:I74"/>
    <mergeCell ref="J3:K10"/>
    <mergeCell ref="G3:I10"/>
    <mergeCell ref="C2:C3"/>
    <mergeCell ref="A4:A5"/>
    <mergeCell ref="A1:C1"/>
    <mergeCell ref="A60:C60"/>
    <mergeCell ref="H60:J60"/>
    <mergeCell ref="B2:B3"/>
    <mergeCell ref="A2:A3"/>
  </mergeCells>
  <printOptions horizontalCentered="1"/>
  <pageMargins left="0.35" right="0.44" top="1" bottom="0.39" header="0.5" footer="0.19"/>
  <pageSetup horizontalDpi="600" verticalDpi="600" orientation="portrait" scale="61" r:id="rId1"/>
  <rowBreaks count="1" manualBreakCount="1">
    <brk id="78" max="10" man="1"/>
  </rowBreaks>
</worksheet>
</file>

<file path=xl/worksheets/sheet2.xml><?xml version="1.0" encoding="utf-8"?>
<worksheet xmlns="http://schemas.openxmlformats.org/spreadsheetml/2006/main" xmlns:r="http://schemas.openxmlformats.org/officeDocument/2006/relationships">
  <dimension ref="A2:O51"/>
  <sheetViews>
    <sheetView zoomScalePageLayoutView="0" workbookViewId="0" topLeftCell="A10">
      <selection activeCell="C19" sqref="C19"/>
    </sheetView>
  </sheetViews>
  <sheetFormatPr defaultColWidth="9.140625" defaultRowHeight="12.75"/>
  <cols>
    <col min="1" max="1" width="43.421875" style="0" customWidth="1"/>
    <col min="2" max="2" width="2.00390625" style="0" customWidth="1"/>
    <col min="3" max="3" width="46.421875" style="0" customWidth="1"/>
    <col min="4" max="4" width="35.140625" style="0" customWidth="1"/>
    <col min="5" max="6" width="0" style="0" hidden="1" customWidth="1"/>
  </cols>
  <sheetData>
    <row r="2" spans="1:3" ht="15">
      <c r="A2" s="367" t="s">
        <v>133</v>
      </c>
      <c r="B2" s="367"/>
      <c r="C2" s="367"/>
    </row>
    <row r="3" ht="15">
      <c r="A3" s="73"/>
    </row>
    <row r="4" spans="1:5" ht="15">
      <c r="A4" s="74" t="s">
        <v>134</v>
      </c>
      <c r="C4" s="75" t="s">
        <v>110</v>
      </c>
      <c r="E4" s="187" t="s">
        <v>208</v>
      </c>
    </row>
    <row r="5" spans="1:5" ht="15">
      <c r="A5" s="76" t="s">
        <v>179</v>
      </c>
      <c r="B5" s="77"/>
      <c r="C5" s="147"/>
      <c r="E5" s="187" t="s">
        <v>212</v>
      </c>
    </row>
    <row r="6" spans="1:3" ht="15">
      <c r="A6" s="78" t="s">
        <v>111</v>
      </c>
      <c r="B6" s="77" t="s">
        <v>112</v>
      </c>
      <c r="C6" s="186" t="s">
        <v>241</v>
      </c>
    </row>
    <row r="7" spans="1:3" ht="15">
      <c r="A7" s="78" t="s">
        <v>113</v>
      </c>
      <c r="B7" s="77" t="s">
        <v>112</v>
      </c>
      <c r="C7" s="79"/>
    </row>
    <row r="8" spans="1:3" ht="15">
      <c r="A8" s="78" t="s">
        <v>114</v>
      </c>
      <c r="B8" s="77" t="s">
        <v>112</v>
      </c>
      <c r="C8" s="80"/>
    </row>
    <row r="9" spans="1:3" ht="15">
      <c r="A9" s="78" t="s">
        <v>127</v>
      </c>
      <c r="B9" s="77"/>
      <c r="C9" s="80"/>
    </row>
    <row r="10" spans="1:3" ht="15">
      <c r="A10" s="78" t="s">
        <v>126</v>
      </c>
      <c r="B10" s="77"/>
      <c r="C10" s="80"/>
    </row>
    <row r="11" spans="1:3" ht="15">
      <c r="A11" s="78" t="s">
        <v>115</v>
      </c>
      <c r="B11" s="77" t="s">
        <v>112</v>
      </c>
      <c r="C11" s="134" t="s">
        <v>240</v>
      </c>
    </row>
    <row r="12" spans="1:6" ht="15">
      <c r="A12" s="78" t="s">
        <v>152</v>
      </c>
      <c r="B12" s="77" t="s">
        <v>112</v>
      </c>
      <c r="C12" s="149"/>
      <c r="D12" s="187" t="s">
        <v>213</v>
      </c>
      <c r="E12" t="s">
        <v>153</v>
      </c>
      <c r="F12" t="s">
        <v>154</v>
      </c>
    </row>
    <row r="13" spans="1:3" ht="15">
      <c r="A13" s="78" t="s">
        <v>116</v>
      </c>
      <c r="B13" s="77" t="s">
        <v>112</v>
      </c>
      <c r="C13" s="79"/>
    </row>
    <row r="14" spans="1:3" ht="15">
      <c r="A14" s="78" t="s">
        <v>118</v>
      </c>
      <c r="B14" s="77" t="s">
        <v>112</v>
      </c>
      <c r="C14" s="186" t="s">
        <v>243</v>
      </c>
    </row>
    <row r="15" spans="1:3" ht="12.75" hidden="1">
      <c r="A15" s="81" t="s">
        <v>125</v>
      </c>
      <c r="B15" s="77" t="s">
        <v>112</v>
      </c>
      <c r="C15" s="88"/>
    </row>
    <row r="16" spans="1:3" ht="12.75" hidden="1">
      <c r="A16" s="82"/>
      <c r="B16" s="83"/>
      <c r="C16" s="84"/>
    </row>
    <row r="17" spans="1:3" ht="12.75">
      <c r="A17" s="85" t="s">
        <v>119</v>
      </c>
      <c r="B17" s="83"/>
      <c r="C17" s="79"/>
    </row>
    <row r="18" spans="1:3" ht="12.75">
      <c r="A18" s="101">
        <v>1</v>
      </c>
      <c r="B18" s="83"/>
      <c r="C18" s="79"/>
    </row>
    <row r="19" spans="1:3" ht="12.75">
      <c r="A19" s="101">
        <v>2</v>
      </c>
      <c r="B19" s="83"/>
      <c r="C19" s="155"/>
    </row>
    <row r="20" spans="1:3" ht="12.75">
      <c r="A20" s="101">
        <v>3</v>
      </c>
      <c r="B20" s="83"/>
      <c r="C20" s="156"/>
    </row>
    <row r="21" spans="1:3" ht="12.75">
      <c r="A21" s="101">
        <v>4</v>
      </c>
      <c r="B21" s="83"/>
      <c r="C21" s="155"/>
    </row>
    <row r="22" spans="1:3" ht="12.75">
      <c r="A22" s="101">
        <v>5</v>
      </c>
      <c r="B22" s="83"/>
      <c r="C22" s="155"/>
    </row>
    <row r="23" spans="1:4" ht="12.75">
      <c r="A23" s="101">
        <v>6</v>
      </c>
      <c r="B23" s="83"/>
      <c r="C23" s="155"/>
      <c r="D23" t="s">
        <v>180</v>
      </c>
    </row>
    <row r="24" spans="1:3" ht="12.75">
      <c r="A24" s="85"/>
      <c r="B24" s="83"/>
      <c r="C24" s="155"/>
    </row>
    <row r="25" spans="1:4" ht="12.75">
      <c r="A25" s="82" t="s">
        <v>120</v>
      </c>
      <c r="B25" s="83"/>
      <c r="C25" s="150" t="s">
        <v>186</v>
      </c>
      <c r="D25" s="150" t="s">
        <v>186</v>
      </c>
    </row>
    <row r="26" spans="1:4" ht="12.75">
      <c r="A26" s="82" t="s">
        <v>129</v>
      </c>
      <c r="B26" s="83"/>
      <c r="C26" s="151">
        <v>560037002</v>
      </c>
      <c r="D26" s="151">
        <v>560037002</v>
      </c>
    </row>
    <row r="27" spans="1:4" ht="12.75">
      <c r="A27" s="82" t="s">
        <v>130</v>
      </c>
      <c r="B27" s="83"/>
      <c r="C27" s="150" t="s">
        <v>187</v>
      </c>
      <c r="D27" s="150" t="s">
        <v>187</v>
      </c>
    </row>
    <row r="28" spans="1:4" ht="12.75" hidden="1">
      <c r="A28" s="82" t="s">
        <v>131</v>
      </c>
      <c r="B28" s="83"/>
      <c r="C28" s="150"/>
      <c r="D28" s="150"/>
    </row>
    <row r="29" spans="1:4" ht="12.75">
      <c r="A29" s="82" t="s">
        <v>121</v>
      </c>
      <c r="B29" s="83"/>
      <c r="C29" s="152">
        <v>5991400801</v>
      </c>
      <c r="D29" s="152">
        <v>5527284807</v>
      </c>
    </row>
    <row r="30" spans="1:3" ht="12.75" hidden="1">
      <c r="A30" s="86" t="s">
        <v>132</v>
      </c>
      <c r="B30" s="87"/>
      <c r="C30" s="135"/>
    </row>
    <row r="32" spans="1:3" ht="12.75">
      <c r="A32" s="92" t="s">
        <v>135</v>
      </c>
      <c r="C32" s="96" t="s">
        <v>145</v>
      </c>
    </row>
    <row r="34" spans="1:15" s="83" customFormat="1" ht="12.75">
      <c r="A34" s="91" t="s">
        <v>136</v>
      </c>
      <c r="B34" s="31"/>
      <c r="D34" s="31"/>
      <c r="E34" s="31"/>
      <c r="F34" s="31"/>
      <c r="G34" s="146"/>
      <c r="H34" s="31"/>
      <c r="I34" s="31"/>
      <c r="J34" s="31"/>
      <c r="K34" s="31"/>
      <c r="L34" s="31"/>
      <c r="M34" s="31"/>
      <c r="N34" s="31"/>
      <c r="O34" s="31"/>
    </row>
    <row r="35" spans="1:3" ht="12.75">
      <c r="A35" s="94" t="s">
        <v>137</v>
      </c>
      <c r="C35" t="e">
        <f>+#REF!</f>
        <v>#REF!</v>
      </c>
    </row>
    <row r="37" ht="12.75">
      <c r="A37" s="95" t="s">
        <v>140</v>
      </c>
    </row>
    <row r="38" ht="12.75">
      <c r="A38" s="94"/>
    </row>
    <row r="39" spans="1:3" ht="12.75">
      <c r="A39" s="94" t="s">
        <v>141</v>
      </c>
      <c r="C39" t="e">
        <f>+#REF!</f>
        <v>#REF!</v>
      </c>
    </row>
    <row r="40" spans="1:3" ht="12.75">
      <c r="A40" s="94" t="s">
        <v>142</v>
      </c>
      <c r="C40">
        <v>0</v>
      </c>
    </row>
    <row r="41" ht="12.75" hidden="1">
      <c r="A41" s="94" t="s">
        <v>143</v>
      </c>
    </row>
    <row r="42" ht="12.75">
      <c r="A42" s="94"/>
    </row>
    <row r="43" spans="1:3" ht="12.75">
      <c r="A43" s="94" t="s">
        <v>144</v>
      </c>
      <c r="C43" t="e">
        <f>+#REF!</f>
        <v>#REF!</v>
      </c>
    </row>
    <row r="45" spans="1:3" ht="12.75">
      <c r="A45" s="94" t="s">
        <v>147</v>
      </c>
      <c r="C45" t="e">
        <f>+#REF!</f>
        <v>#REF!</v>
      </c>
    </row>
    <row r="46" spans="1:3" ht="12.75">
      <c r="A46" s="94" t="s">
        <v>148</v>
      </c>
      <c r="C46">
        <v>0</v>
      </c>
    </row>
    <row r="47" spans="1:3" ht="12.75">
      <c r="A47" s="94" t="s">
        <v>149</v>
      </c>
      <c r="C47" t="e">
        <f>+#REF!</f>
        <v>#REF!</v>
      </c>
    </row>
    <row r="49" ht="12.75" hidden="1">
      <c r="A49" s="94" t="s">
        <v>150</v>
      </c>
    </row>
    <row r="50" ht="12.75" hidden="1"/>
    <row r="51" spans="1:3" ht="12.75">
      <c r="A51" s="94" t="s">
        <v>151</v>
      </c>
      <c r="C51" t="e">
        <f>+#REF!</f>
        <v>#REF!</v>
      </c>
    </row>
  </sheetData>
  <sheetProtection/>
  <mergeCells count="1">
    <mergeCell ref="A2:C2"/>
  </mergeCells>
  <dataValidations count="3">
    <dataValidation type="textLength" operator="equal" allowBlank="1" showInputMessage="1" showErrorMessage="1" sqref="C11">
      <formula1>10</formula1>
    </dataValidation>
    <dataValidation type="textLength" operator="equal" allowBlank="1" showInputMessage="1" showErrorMessage="1" sqref="C26:D26">
      <formula1>9</formula1>
    </dataValidation>
    <dataValidation type="list" showInputMessage="1" showErrorMessage="1" sqref="C14">
      <formula1>$E$4:$E$5</formula1>
    </dataValidation>
  </dataValidations>
  <printOptions horizontalCentered="1" verticalCentered="1"/>
  <pageMargins left="0.25" right="0.2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AB84"/>
  <sheetViews>
    <sheetView zoomScale="70" zoomScaleNormal="70" zoomScalePageLayoutView="0" workbookViewId="0" topLeftCell="A14">
      <selection activeCell="I14" sqref="I14"/>
    </sheetView>
  </sheetViews>
  <sheetFormatPr defaultColWidth="9.140625" defaultRowHeight="12.75"/>
  <cols>
    <col min="1" max="1" width="1.57421875" style="1" customWidth="1"/>
    <col min="2" max="2" width="4.28125" style="1" customWidth="1"/>
    <col min="3" max="3" width="23.00390625" style="1" customWidth="1"/>
    <col min="4" max="4" width="7.421875" style="1" customWidth="1"/>
    <col min="5" max="5" width="4.140625" style="1" customWidth="1"/>
    <col min="6" max="6" width="7.28125" style="1" customWidth="1"/>
    <col min="7" max="7" width="7.7109375" style="1" customWidth="1"/>
    <col min="8" max="8" width="5.140625" style="1" customWidth="1"/>
    <col min="9" max="9" width="2.57421875" style="1" customWidth="1"/>
    <col min="10" max="10" width="3.8515625" style="1" customWidth="1"/>
    <col min="11" max="11" width="7.421875" style="1" customWidth="1"/>
    <col min="12" max="12" width="10.140625" style="1" customWidth="1"/>
    <col min="13" max="13" width="11.8515625" style="1" bestFit="1" customWidth="1"/>
    <col min="14" max="14" width="3.8515625" style="1" customWidth="1"/>
    <col min="15" max="15" width="6.421875" style="1" customWidth="1"/>
    <col min="16" max="16" width="8.00390625" style="1" customWidth="1"/>
    <col min="17" max="17" width="12.00390625" style="1" customWidth="1"/>
    <col min="18" max="18" width="7.00390625" style="1" customWidth="1"/>
    <col min="19" max="19" width="5.00390625" style="1" customWidth="1"/>
    <col min="20" max="20" width="5.421875" style="1" customWidth="1"/>
    <col min="21" max="21" width="19.28125" style="1" customWidth="1"/>
    <col min="22" max="16384" width="9.140625" style="1" customWidth="1"/>
  </cols>
  <sheetData>
    <row r="1" spans="17:21" ht="18.75" thickBot="1">
      <c r="Q1" s="456"/>
      <c r="R1" s="456"/>
      <c r="S1" s="456"/>
      <c r="T1" s="456"/>
      <c r="U1" s="148"/>
    </row>
    <row r="2" spans="2:21" ht="32.25">
      <c r="B2" s="2"/>
      <c r="C2" s="51" t="s">
        <v>0</v>
      </c>
      <c r="D2" s="17"/>
      <c r="E2" s="17"/>
      <c r="F2" s="17"/>
      <c r="G2" s="460" t="s">
        <v>107</v>
      </c>
      <c r="H2" s="460"/>
      <c r="I2" s="460"/>
      <c r="J2" s="460"/>
      <c r="K2" s="460"/>
      <c r="L2" s="460"/>
      <c r="M2" s="460"/>
      <c r="N2" s="460"/>
      <c r="O2" s="460"/>
      <c r="P2" s="460"/>
      <c r="Q2" s="460"/>
      <c r="R2" s="34"/>
      <c r="S2" s="423" t="s">
        <v>1</v>
      </c>
      <c r="T2" s="424"/>
      <c r="U2" s="425"/>
    </row>
    <row r="3" spans="2:21" ht="12.75">
      <c r="B3" s="459" t="s">
        <v>2</v>
      </c>
      <c r="C3" s="409"/>
      <c r="D3" s="409"/>
      <c r="E3" s="409"/>
      <c r="F3" s="409"/>
      <c r="G3" s="409"/>
      <c r="H3" s="409"/>
      <c r="I3" s="409"/>
      <c r="J3" s="409"/>
      <c r="K3" s="409"/>
      <c r="L3" s="409"/>
      <c r="M3" s="409"/>
      <c r="N3" s="409"/>
      <c r="O3" s="409"/>
      <c r="P3" s="409"/>
      <c r="Q3" s="409"/>
      <c r="R3" s="409"/>
      <c r="S3" s="409"/>
      <c r="T3" s="409"/>
      <c r="U3" s="410"/>
    </row>
    <row r="4" spans="2:28" ht="12.75">
      <c r="B4" s="439" t="s">
        <v>3</v>
      </c>
      <c r="C4" s="409"/>
      <c r="D4" s="409"/>
      <c r="E4" s="409"/>
      <c r="F4" s="409"/>
      <c r="G4" s="409"/>
      <c r="H4" s="409"/>
      <c r="I4" s="409"/>
      <c r="J4" s="409"/>
      <c r="K4" s="409"/>
      <c r="L4" s="409"/>
      <c r="M4" s="409"/>
      <c r="N4" s="409"/>
      <c r="O4" s="409"/>
      <c r="P4" s="409"/>
      <c r="Q4" s="409"/>
      <c r="R4" s="409"/>
      <c r="S4" s="409"/>
      <c r="T4" s="409"/>
      <c r="U4" s="410"/>
      <c r="V4" s="4"/>
      <c r="W4" s="4"/>
      <c r="X4" s="4"/>
      <c r="Y4" s="4"/>
      <c r="Z4" s="4"/>
      <c r="AA4" s="4"/>
      <c r="AB4" s="4"/>
    </row>
    <row r="5" spans="2:28" ht="12.75">
      <c r="B5" s="439" t="s">
        <v>58</v>
      </c>
      <c r="C5" s="409"/>
      <c r="D5" s="409"/>
      <c r="E5" s="409"/>
      <c r="F5" s="409"/>
      <c r="G5" s="409"/>
      <c r="H5" s="409"/>
      <c r="I5" s="409"/>
      <c r="J5" s="409"/>
      <c r="K5" s="409"/>
      <c r="L5" s="409"/>
      <c r="M5" s="409"/>
      <c r="N5" s="409"/>
      <c r="O5" s="409"/>
      <c r="P5" s="409"/>
      <c r="Q5" s="409"/>
      <c r="R5" s="409"/>
      <c r="S5" s="409"/>
      <c r="T5" s="409"/>
      <c r="U5" s="410"/>
      <c r="V5" s="4"/>
      <c r="W5" s="4"/>
      <c r="X5" s="4"/>
      <c r="Y5" s="4"/>
      <c r="Z5" s="4"/>
      <c r="AA5" s="4"/>
      <c r="AB5" s="4"/>
    </row>
    <row r="6" spans="2:28" ht="5.25" customHeight="1">
      <c r="B6" s="18"/>
      <c r="C6" s="8"/>
      <c r="D6" s="8"/>
      <c r="E6" s="8"/>
      <c r="F6" s="8"/>
      <c r="G6" s="8"/>
      <c r="H6" s="8"/>
      <c r="I6" s="8"/>
      <c r="J6" s="8"/>
      <c r="K6" s="8"/>
      <c r="L6" s="8"/>
      <c r="M6" s="8"/>
      <c r="N6" s="8"/>
      <c r="O6" s="8"/>
      <c r="P6" s="8"/>
      <c r="Q6" s="8"/>
      <c r="R6" s="8"/>
      <c r="S6" s="8"/>
      <c r="T6" s="8"/>
      <c r="U6" s="90"/>
      <c r="V6" s="4"/>
      <c r="W6" s="4"/>
      <c r="X6" s="4"/>
      <c r="Y6" s="4"/>
      <c r="Z6" s="4"/>
      <c r="AA6" s="4"/>
      <c r="AB6" s="4"/>
    </row>
    <row r="7" spans="2:28" ht="18.75" customHeight="1">
      <c r="B7" s="3">
        <v>1</v>
      </c>
      <c r="C7" s="137" t="s">
        <v>80</v>
      </c>
      <c r="D7" s="440" t="str">
        <f>UPPER('Basic Data'!C6)</f>
        <v>MANOJ KUMAR VALLBHANENI</v>
      </c>
      <c r="E7" s="440"/>
      <c r="F7" s="440"/>
      <c r="G7" s="440"/>
      <c r="H7" s="440"/>
      <c r="I7" s="440"/>
      <c r="J7" s="440"/>
      <c r="K7" s="440"/>
      <c r="L7" s="440"/>
      <c r="M7" s="440"/>
      <c r="N7" s="138">
        <v>2</v>
      </c>
      <c r="O7" s="138" t="s">
        <v>74</v>
      </c>
      <c r="P7" s="138"/>
      <c r="Q7" s="138"/>
      <c r="R7" s="440">
        <f>UPPER('Basic Data'!C7)</f>
      </c>
      <c r="S7" s="452"/>
      <c r="T7" s="452"/>
      <c r="U7" s="453"/>
      <c r="V7" s="64"/>
      <c r="W7" s="64"/>
      <c r="X7" s="64"/>
      <c r="Y7" s="64"/>
      <c r="Z7" s="64"/>
      <c r="AA7" s="64"/>
      <c r="AB7" s="4"/>
    </row>
    <row r="8" spans="2:28" ht="18.75" customHeight="1">
      <c r="B8" s="3">
        <v>3</v>
      </c>
      <c r="C8" s="139" t="s">
        <v>81</v>
      </c>
      <c r="D8" s="440">
        <f>UPPER('Basic Data'!C8)</f>
      </c>
      <c r="E8" s="440"/>
      <c r="F8" s="440"/>
      <c r="G8" s="440"/>
      <c r="H8" s="440"/>
      <c r="I8" s="440"/>
      <c r="J8" s="440"/>
      <c r="K8" s="440"/>
      <c r="L8" s="440"/>
      <c r="M8" s="440"/>
      <c r="N8" s="138">
        <v>4</v>
      </c>
      <c r="O8" s="138" t="s">
        <v>101</v>
      </c>
      <c r="P8" s="138"/>
      <c r="Q8" s="138"/>
      <c r="R8" s="396" t="str">
        <f>UPPER('Basic Data'!C11)</f>
        <v>ABVPV3252F</v>
      </c>
      <c r="S8" s="452"/>
      <c r="T8" s="452"/>
      <c r="U8" s="453"/>
      <c r="V8" s="4"/>
      <c r="W8" s="4"/>
      <c r="X8" s="4"/>
      <c r="Y8" s="4"/>
      <c r="Z8" s="4"/>
      <c r="AA8" s="4"/>
      <c r="AB8" s="4"/>
    </row>
    <row r="9" spans="2:28" ht="19.5" customHeight="1">
      <c r="B9" s="3"/>
      <c r="C9" s="455">
        <f>+UPPER('Basic Data'!C9)</f>
      </c>
      <c r="D9" s="455"/>
      <c r="E9" s="455"/>
      <c r="F9" s="455"/>
      <c r="G9" s="455"/>
      <c r="H9" s="455"/>
      <c r="I9" s="455"/>
      <c r="J9" s="455"/>
      <c r="K9" s="455"/>
      <c r="L9" s="455"/>
      <c r="M9" s="455"/>
      <c r="N9" s="138">
        <v>5</v>
      </c>
      <c r="O9" s="140" t="s">
        <v>60</v>
      </c>
      <c r="P9" s="140"/>
      <c r="Q9" s="138"/>
      <c r="R9" s="461">
        <f>'Basic Data'!C12</f>
        <v>0</v>
      </c>
      <c r="S9" s="462"/>
      <c r="T9" s="462"/>
      <c r="U9" s="463"/>
      <c r="V9" s="4"/>
      <c r="W9" s="4"/>
      <c r="X9" s="4"/>
      <c r="Y9" s="4"/>
      <c r="Z9" s="4"/>
      <c r="AA9" s="4"/>
      <c r="AB9" s="4"/>
    </row>
    <row r="10" spans="2:28" ht="21.75" customHeight="1">
      <c r="B10" s="19"/>
      <c r="C10" s="141"/>
      <c r="D10" s="15" t="s">
        <v>82</v>
      </c>
      <c r="E10" s="396">
        <f>+PROPER('Basic Data'!C10)</f>
      </c>
      <c r="F10" s="396"/>
      <c r="G10" s="396"/>
      <c r="H10" s="396"/>
      <c r="I10" s="138" t="s">
        <v>4</v>
      </c>
      <c r="J10" s="138"/>
      <c r="K10" s="10"/>
      <c r="L10" s="396">
        <f>+PROPER('Basic Data'!C15)</f>
      </c>
      <c r="M10" s="396"/>
      <c r="N10" s="138"/>
      <c r="O10" s="138"/>
      <c r="P10" s="138"/>
      <c r="Q10" s="138"/>
      <c r="R10" s="138"/>
      <c r="S10" s="138"/>
      <c r="T10" s="138"/>
      <c r="U10" s="5"/>
      <c r="V10" s="4"/>
      <c r="W10" s="4"/>
      <c r="X10" s="4"/>
      <c r="Y10" s="4"/>
      <c r="Z10" s="4"/>
      <c r="AA10" s="4"/>
      <c r="AB10" s="4"/>
    </row>
    <row r="11" spans="2:21" ht="15.75" customHeight="1">
      <c r="B11" s="3">
        <v>6</v>
      </c>
      <c r="C11" s="138" t="s">
        <v>105</v>
      </c>
      <c r="D11" s="138"/>
      <c r="E11" s="138"/>
      <c r="F11" s="138"/>
      <c r="G11" s="138"/>
      <c r="H11" s="138"/>
      <c r="I11" s="138"/>
      <c r="J11" s="138"/>
      <c r="K11" s="138"/>
      <c r="L11" s="10"/>
      <c r="M11" s="10"/>
      <c r="N11" s="138">
        <v>7</v>
      </c>
      <c r="O11" s="138" t="s">
        <v>103</v>
      </c>
      <c r="P11" s="138"/>
      <c r="Q11" s="138"/>
      <c r="R11" s="138"/>
      <c r="S11" s="138"/>
      <c r="T11" s="457" t="s">
        <v>117</v>
      </c>
      <c r="U11" s="458"/>
    </row>
    <row r="12" spans="2:21" ht="15.75" customHeight="1">
      <c r="B12" s="3"/>
      <c r="C12" s="91" t="s">
        <v>106</v>
      </c>
      <c r="D12" s="10"/>
      <c r="E12" s="10"/>
      <c r="F12" s="10"/>
      <c r="G12" s="400" t="s">
        <v>122</v>
      </c>
      <c r="H12" s="400"/>
      <c r="I12" s="400"/>
      <c r="J12" s="400"/>
      <c r="K12" s="400"/>
      <c r="L12" s="400"/>
      <c r="M12" s="400"/>
      <c r="N12" s="10"/>
      <c r="O12" s="91" t="s">
        <v>104</v>
      </c>
      <c r="P12" s="10"/>
      <c r="Q12" s="138"/>
      <c r="R12" s="10"/>
      <c r="S12" s="14"/>
      <c r="T12" s="14"/>
      <c r="U12" s="5"/>
    </row>
    <row r="13" spans="2:21" ht="15.75" customHeight="1">
      <c r="B13" s="3">
        <v>8</v>
      </c>
      <c r="C13" s="91" t="s">
        <v>157</v>
      </c>
      <c r="D13" s="10"/>
      <c r="E13" s="10"/>
      <c r="F13" s="10"/>
      <c r="G13" s="141"/>
      <c r="H13" s="141"/>
      <c r="I13" s="142"/>
      <c r="J13" s="142"/>
      <c r="K13" s="142"/>
      <c r="L13" s="142"/>
      <c r="M13" s="142"/>
      <c r="N13" s="138">
        <v>9</v>
      </c>
      <c r="O13" s="138" t="s">
        <v>102</v>
      </c>
      <c r="P13" s="138"/>
      <c r="Q13" s="138"/>
      <c r="R13" s="143" t="str">
        <f>+PROPER('Basic Data'!C14)</f>
        <v>M</v>
      </c>
      <c r="S13" s="65"/>
      <c r="T13" s="457"/>
      <c r="U13" s="458"/>
    </row>
    <row r="14" spans="2:21" ht="15.75" customHeight="1">
      <c r="B14" s="3">
        <v>10</v>
      </c>
      <c r="C14" s="91" t="s">
        <v>158</v>
      </c>
      <c r="D14" s="10"/>
      <c r="E14" s="138"/>
      <c r="F14" s="144" t="s">
        <v>76</v>
      </c>
      <c r="G14" s="63">
        <v>2005</v>
      </c>
      <c r="H14" s="143" t="s">
        <v>87</v>
      </c>
      <c r="I14" s="145" t="s">
        <v>75</v>
      </c>
      <c r="J14" s="145"/>
      <c r="K14" s="136">
        <v>2006</v>
      </c>
      <c r="L14" s="143"/>
      <c r="M14" s="143"/>
      <c r="N14" s="138"/>
      <c r="O14" s="10"/>
      <c r="P14" s="10"/>
      <c r="Q14" s="138"/>
      <c r="R14" s="138"/>
      <c r="S14" s="15"/>
      <c r="T14" s="15"/>
      <c r="U14" s="5"/>
    </row>
    <row r="15" spans="2:21" ht="15.75" customHeight="1">
      <c r="B15" s="3">
        <v>11</v>
      </c>
      <c r="C15" s="91" t="s">
        <v>159</v>
      </c>
      <c r="D15" s="10"/>
      <c r="E15" s="10"/>
      <c r="F15" s="136" t="s">
        <v>123</v>
      </c>
      <c r="G15" s="136"/>
      <c r="H15" s="136"/>
      <c r="I15" s="136"/>
      <c r="J15" s="136"/>
      <c r="K15" s="143"/>
      <c r="L15" s="143"/>
      <c r="M15" s="143"/>
      <c r="N15" s="138">
        <v>12</v>
      </c>
      <c r="O15" s="138" t="s">
        <v>160</v>
      </c>
      <c r="P15" s="138"/>
      <c r="Q15" s="138"/>
      <c r="R15" s="138"/>
      <c r="S15" s="400" t="s">
        <v>124</v>
      </c>
      <c r="T15" s="445"/>
      <c r="U15" s="458"/>
    </row>
    <row r="16" spans="2:21" ht="15.75" customHeight="1">
      <c r="B16" s="3">
        <v>13</v>
      </c>
      <c r="C16" s="8" t="s">
        <v>57</v>
      </c>
      <c r="D16" s="8"/>
      <c r="E16" s="8"/>
      <c r="F16" s="4"/>
      <c r="G16" s="4"/>
      <c r="H16" s="4"/>
      <c r="I16" s="4"/>
      <c r="J16" s="4"/>
      <c r="K16" s="4"/>
      <c r="L16" s="4"/>
      <c r="M16" s="428"/>
      <c r="N16" s="401"/>
      <c r="O16" s="401"/>
      <c r="P16" s="401"/>
      <c r="Q16" s="401"/>
      <c r="R16" s="401"/>
      <c r="S16" s="401"/>
      <c r="T16" s="401"/>
      <c r="U16" s="405"/>
    </row>
    <row r="17" spans="2:21" ht="18.75" customHeight="1">
      <c r="B17" s="426" t="s">
        <v>5</v>
      </c>
      <c r="C17" s="442"/>
      <c r="D17" s="442"/>
      <c r="E17" s="442"/>
      <c r="F17" s="443"/>
      <c r="G17" s="450" t="s">
        <v>36</v>
      </c>
      <c r="H17" s="442"/>
      <c r="I17" s="442"/>
      <c r="J17" s="442"/>
      <c r="K17" s="443"/>
      <c r="L17" s="450" t="s">
        <v>88</v>
      </c>
      <c r="M17" s="442"/>
      <c r="N17" s="442"/>
      <c r="O17" s="443"/>
      <c r="P17" s="454" t="s">
        <v>89</v>
      </c>
      <c r="Q17" s="443"/>
      <c r="R17" s="450" t="s">
        <v>6</v>
      </c>
      <c r="S17" s="442"/>
      <c r="T17" s="443"/>
      <c r="U17" s="448" t="s">
        <v>37</v>
      </c>
    </row>
    <row r="18" spans="2:21" ht="10.5" customHeight="1">
      <c r="B18" s="444"/>
      <c r="C18" s="445"/>
      <c r="D18" s="445"/>
      <c r="E18" s="445"/>
      <c r="F18" s="446"/>
      <c r="G18" s="451"/>
      <c r="H18" s="445"/>
      <c r="I18" s="445"/>
      <c r="J18" s="445"/>
      <c r="K18" s="446"/>
      <c r="L18" s="451"/>
      <c r="M18" s="445"/>
      <c r="N18" s="445"/>
      <c r="O18" s="446"/>
      <c r="P18" s="451"/>
      <c r="Q18" s="446"/>
      <c r="R18" s="451"/>
      <c r="S18" s="445"/>
      <c r="T18" s="446"/>
      <c r="U18" s="449"/>
    </row>
    <row r="19" spans="2:21" ht="27" customHeight="1">
      <c r="B19" s="372" t="str">
        <f>+PROPER('Basic Data'!C25)</f>
        <v>Citi Bank</v>
      </c>
      <c r="C19" s="371"/>
      <c r="D19" s="371"/>
      <c r="E19" s="371"/>
      <c r="F19" s="413"/>
      <c r="G19" s="372" t="str">
        <f>+PROPER('Basic Data'!C26)</f>
        <v>560037002</v>
      </c>
      <c r="H19" s="371"/>
      <c r="I19" s="371"/>
      <c r="J19" s="371"/>
      <c r="K19" s="373"/>
      <c r="L19" s="417" t="str">
        <f>+PROPER('Basic Data'!C27)</f>
        <v>Mg Road</v>
      </c>
      <c r="M19" s="371"/>
      <c r="N19" s="371"/>
      <c r="O19" s="373"/>
      <c r="P19" s="370" t="s">
        <v>155</v>
      </c>
      <c r="Q19" s="373"/>
      <c r="R19" s="417" t="str">
        <f>+PROPER('Basic Data'!C29)</f>
        <v>5991400801</v>
      </c>
      <c r="S19" s="371"/>
      <c r="T19" s="373"/>
      <c r="U19" s="89" t="s">
        <v>202</v>
      </c>
    </row>
    <row r="20" spans="2:21" s="4" customFormat="1" ht="12.75">
      <c r="B20" s="71">
        <v>14</v>
      </c>
      <c r="C20" s="40" t="s">
        <v>7</v>
      </c>
      <c r="D20" s="42"/>
      <c r="E20" s="42"/>
      <c r="F20" s="42"/>
      <c r="G20" s="42"/>
      <c r="H20" s="42"/>
      <c r="I20" s="416"/>
      <c r="J20" s="371"/>
      <c r="K20" s="371"/>
      <c r="L20" s="371"/>
      <c r="M20" s="371"/>
      <c r="N20" s="371"/>
      <c r="O20" s="371"/>
      <c r="P20" s="371"/>
      <c r="Q20" s="371"/>
      <c r="R20" s="371"/>
      <c r="S20" s="371"/>
      <c r="T20" s="371"/>
      <c r="U20" s="413"/>
    </row>
    <row r="21" spans="2:21" ht="18" customHeight="1" thickBot="1">
      <c r="B21" s="447" t="s">
        <v>90</v>
      </c>
      <c r="C21" s="427"/>
      <c r="D21" s="417"/>
      <c r="E21" s="371"/>
      <c r="F21" s="371"/>
      <c r="G21" s="371"/>
      <c r="H21" s="371"/>
      <c r="I21" s="371"/>
      <c r="J21" s="371"/>
      <c r="K21" s="371"/>
      <c r="L21" s="373"/>
      <c r="M21" s="41" t="s">
        <v>61</v>
      </c>
      <c r="N21" s="62"/>
      <c r="O21" s="32"/>
      <c r="P21" s="370"/>
      <c r="Q21" s="371"/>
      <c r="R21" s="371"/>
      <c r="S21" s="371"/>
      <c r="T21" s="398"/>
      <c r="U21" s="407"/>
    </row>
    <row r="22" spans="2:21" ht="15.75" customHeight="1" thickBot="1">
      <c r="B22" s="3">
        <v>15</v>
      </c>
      <c r="C22" s="414" t="s">
        <v>8</v>
      </c>
      <c r="D22" s="371"/>
      <c r="E22" s="371"/>
      <c r="F22" s="371"/>
      <c r="G22" s="371"/>
      <c r="H22" s="371"/>
      <c r="I22" s="371"/>
      <c r="J22" s="371"/>
      <c r="K22" s="371"/>
      <c r="L22" s="371"/>
      <c r="M22" s="371"/>
      <c r="N22" s="371"/>
      <c r="O22" s="371"/>
      <c r="P22" s="371"/>
      <c r="Q22" s="415"/>
      <c r="R22" s="21">
        <v>701</v>
      </c>
      <c r="S22" s="9" t="s">
        <v>9</v>
      </c>
      <c r="T22" s="105"/>
      <c r="U22" s="106" t="e">
        <f>'Basic Data'!C35</f>
        <v>#REF!</v>
      </c>
    </row>
    <row r="23" spans="2:21" ht="15.75" customHeight="1" thickBot="1" thickTop="1">
      <c r="B23" s="3">
        <v>16</v>
      </c>
      <c r="C23" s="383" t="s">
        <v>10</v>
      </c>
      <c r="D23" s="371"/>
      <c r="E23" s="371"/>
      <c r="F23" s="371"/>
      <c r="G23" s="371"/>
      <c r="H23" s="371"/>
      <c r="I23" s="371"/>
      <c r="J23" s="371"/>
      <c r="K23" s="371"/>
      <c r="L23" s="371"/>
      <c r="M23" s="371"/>
      <c r="N23" s="371"/>
      <c r="O23" s="371"/>
      <c r="P23" s="371"/>
      <c r="Q23" s="373"/>
      <c r="R23" s="58">
        <v>702</v>
      </c>
      <c r="S23" s="9" t="s">
        <v>9</v>
      </c>
      <c r="T23" s="105"/>
      <c r="U23" s="114" t="e">
        <f>+#REF!</f>
        <v>#REF!</v>
      </c>
    </row>
    <row r="24" spans="2:21" ht="15.75" customHeight="1" thickBot="1">
      <c r="B24" s="3">
        <v>17</v>
      </c>
      <c r="C24" s="383" t="s">
        <v>91</v>
      </c>
      <c r="D24" s="371"/>
      <c r="E24" s="371"/>
      <c r="F24" s="371"/>
      <c r="G24" s="371"/>
      <c r="H24" s="371"/>
      <c r="I24" s="371"/>
      <c r="J24" s="371"/>
      <c r="K24" s="371"/>
      <c r="L24" s="371"/>
      <c r="M24" s="371"/>
      <c r="N24" s="371"/>
      <c r="O24" s="371"/>
      <c r="P24" s="371"/>
      <c r="Q24" s="373"/>
      <c r="R24" s="59">
        <v>703</v>
      </c>
      <c r="S24" s="9" t="s">
        <v>9</v>
      </c>
      <c r="T24" s="105"/>
      <c r="U24" s="114" t="e">
        <f>+#REF!</f>
        <v>#REF!</v>
      </c>
    </row>
    <row r="25" spans="2:21" ht="15.75" customHeight="1" thickBot="1">
      <c r="B25" s="3"/>
      <c r="C25" s="383" t="s">
        <v>99</v>
      </c>
      <c r="D25" s="371"/>
      <c r="E25" s="371"/>
      <c r="F25" s="371"/>
      <c r="G25" s="371"/>
      <c r="H25" s="371"/>
      <c r="I25" s="371"/>
      <c r="J25" s="371"/>
      <c r="K25" s="371"/>
      <c r="L25" s="371"/>
      <c r="M25" s="371"/>
      <c r="N25" s="371"/>
      <c r="O25" s="371"/>
      <c r="P25" s="371"/>
      <c r="Q25" s="373"/>
      <c r="R25" s="60">
        <v>597</v>
      </c>
      <c r="S25" s="9" t="s">
        <v>9</v>
      </c>
      <c r="T25" s="105"/>
      <c r="U25" s="107"/>
    </row>
    <row r="26" spans="2:21" ht="15.75" customHeight="1">
      <c r="B26" s="3">
        <v>18</v>
      </c>
      <c r="C26" s="4" t="s">
        <v>11</v>
      </c>
      <c r="D26" s="4"/>
      <c r="E26" s="385" t="s">
        <v>12</v>
      </c>
      <c r="F26" s="385"/>
      <c r="G26" s="4"/>
      <c r="H26" s="385" t="s">
        <v>13</v>
      </c>
      <c r="I26" s="385"/>
      <c r="J26" s="385"/>
      <c r="K26" s="4"/>
      <c r="L26" s="7" t="s">
        <v>14</v>
      </c>
      <c r="M26" s="4"/>
      <c r="N26" s="385" t="s">
        <v>59</v>
      </c>
      <c r="O26" s="385"/>
      <c r="P26" s="4"/>
      <c r="Q26" s="10" t="s">
        <v>15</v>
      </c>
      <c r="R26" s="4"/>
      <c r="S26" s="4"/>
      <c r="T26" s="104"/>
      <c r="U26" s="108"/>
    </row>
    <row r="27" spans="2:21" ht="15.75" customHeight="1">
      <c r="B27" s="3"/>
      <c r="C27" s="57" t="s">
        <v>38</v>
      </c>
      <c r="D27" s="12">
        <v>676</v>
      </c>
      <c r="E27" s="441"/>
      <c r="F27" s="441"/>
      <c r="G27" s="11">
        <v>577</v>
      </c>
      <c r="H27" s="428"/>
      <c r="I27" s="428"/>
      <c r="J27" s="428"/>
      <c r="K27" s="52">
        <v>678</v>
      </c>
      <c r="L27" s="8"/>
      <c r="M27" s="53">
        <v>679</v>
      </c>
      <c r="N27" s="394"/>
      <c r="O27" s="394"/>
      <c r="P27" s="54">
        <v>710</v>
      </c>
      <c r="Q27" s="8"/>
      <c r="R27" s="4"/>
      <c r="S27" s="45"/>
      <c r="T27" s="109"/>
      <c r="U27" s="110"/>
    </row>
    <row r="28" spans="2:21" ht="15.75" customHeight="1">
      <c r="B28" s="3"/>
      <c r="C28" s="57" t="s">
        <v>39</v>
      </c>
      <c r="D28" s="12">
        <v>645</v>
      </c>
      <c r="E28" s="438"/>
      <c r="F28" s="438"/>
      <c r="G28" s="11">
        <v>546</v>
      </c>
      <c r="H28" s="437"/>
      <c r="I28" s="437"/>
      <c r="J28" s="437"/>
      <c r="K28" s="55">
        <v>647</v>
      </c>
      <c r="L28" s="8"/>
      <c r="M28" s="55">
        <v>704</v>
      </c>
      <c r="N28" s="395"/>
      <c r="O28" s="395"/>
      <c r="P28" s="54">
        <v>704</v>
      </c>
      <c r="Q28" s="8"/>
      <c r="R28" s="4"/>
      <c r="S28" s="45"/>
      <c r="T28" s="109"/>
      <c r="U28" s="110"/>
    </row>
    <row r="29" spans="2:21" ht="15.75" customHeight="1" thickBot="1">
      <c r="B29" s="3"/>
      <c r="C29" s="57" t="s">
        <v>92</v>
      </c>
      <c r="D29" s="12">
        <v>695</v>
      </c>
      <c r="E29" s="438"/>
      <c r="F29" s="438"/>
      <c r="G29" s="11">
        <v>596</v>
      </c>
      <c r="H29" s="437"/>
      <c r="I29" s="437"/>
      <c r="J29" s="437"/>
      <c r="K29" s="43">
        <v>697</v>
      </c>
      <c r="L29" s="4"/>
      <c r="M29" s="43">
        <v>705</v>
      </c>
      <c r="N29" s="395"/>
      <c r="O29" s="395"/>
      <c r="P29" s="16">
        <v>705</v>
      </c>
      <c r="Q29" s="4"/>
      <c r="R29" s="12">
        <v>776</v>
      </c>
      <c r="S29" s="9" t="s">
        <v>9</v>
      </c>
      <c r="T29" s="111"/>
      <c r="U29" s="112"/>
    </row>
    <row r="30" spans="2:21" ht="15.75" customHeight="1" thickBot="1">
      <c r="B30" s="3">
        <v>19</v>
      </c>
      <c r="C30" s="383" t="s">
        <v>16</v>
      </c>
      <c r="D30" s="371"/>
      <c r="E30" s="371"/>
      <c r="F30" s="371"/>
      <c r="G30" s="371"/>
      <c r="H30" s="371"/>
      <c r="I30" s="371"/>
      <c r="J30" s="371"/>
      <c r="K30" s="371"/>
      <c r="L30" s="371"/>
      <c r="M30" s="371"/>
      <c r="N30" s="371"/>
      <c r="O30" s="371"/>
      <c r="P30" s="371"/>
      <c r="Q30" s="373"/>
      <c r="R30" s="12">
        <v>706</v>
      </c>
      <c r="S30" s="9" t="s">
        <v>9</v>
      </c>
      <c r="T30" s="113"/>
      <c r="U30" s="114" t="e">
        <f>+#REF!</f>
        <v>#REF!</v>
      </c>
    </row>
    <row r="31" spans="2:21" ht="15.75" customHeight="1" thickBot="1">
      <c r="B31" s="3">
        <v>20</v>
      </c>
      <c r="C31" s="383" t="s">
        <v>17</v>
      </c>
      <c r="D31" s="371"/>
      <c r="E31" s="371"/>
      <c r="F31" s="371"/>
      <c r="G31" s="371"/>
      <c r="H31" s="371"/>
      <c r="I31" s="371"/>
      <c r="J31" s="371"/>
      <c r="K31" s="371"/>
      <c r="L31" s="371"/>
      <c r="M31" s="371"/>
      <c r="N31" s="371"/>
      <c r="O31" s="371"/>
      <c r="P31" s="371"/>
      <c r="Q31" s="373"/>
      <c r="R31" s="12">
        <v>775</v>
      </c>
      <c r="S31" s="9" t="s">
        <v>9</v>
      </c>
      <c r="T31" s="113"/>
      <c r="U31" s="107"/>
    </row>
    <row r="32" spans="2:21" ht="15.75" customHeight="1" thickBot="1">
      <c r="B32" s="3">
        <v>21</v>
      </c>
      <c r="C32" s="414" t="s">
        <v>18</v>
      </c>
      <c r="D32" s="371"/>
      <c r="E32" s="371"/>
      <c r="F32" s="371"/>
      <c r="G32" s="371"/>
      <c r="H32" s="371"/>
      <c r="I32" s="371"/>
      <c r="J32" s="371"/>
      <c r="K32" s="371"/>
      <c r="L32" s="371"/>
      <c r="M32" s="371"/>
      <c r="N32" s="371"/>
      <c r="O32" s="371"/>
      <c r="P32" s="371"/>
      <c r="Q32" s="373"/>
      <c r="R32" s="12">
        <v>746</v>
      </c>
      <c r="S32" s="9" t="s">
        <v>9</v>
      </c>
      <c r="T32" s="105"/>
      <c r="U32" s="114" t="e">
        <f>SUM(U22:U31)</f>
        <v>#REF!</v>
      </c>
    </row>
    <row r="33" spans="2:21" ht="15.75" customHeight="1">
      <c r="B33" s="3">
        <v>22</v>
      </c>
      <c r="C33" s="22" t="s">
        <v>77</v>
      </c>
      <c r="D33" s="22"/>
      <c r="E33" s="22"/>
      <c r="F33" s="22"/>
      <c r="G33" s="22"/>
      <c r="H33" s="22"/>
      <c r="I33" s="22"/>
      <c r="J33" s="22"/>
      <c r="K33" s="22"/>
      <c r="L33" s="370" t="s">
        <v>62</v>
      </c>
      <c r="M33" s="371"/>
      <c r="N33" s="371"/>
      <c r="O33" s="373"/>
      <c r="P33" s="370" t="s">
        <v>63</v>
      </c>
      <c r="Q33" s="371"/>
      <c r="R33" s="36"/>
      <c r="S33" s="31"/>
      <c r="T33" s="115"/>
      <c r="U33" s="108"/>
    </row>
    <row r="34" spans="2:21" ht="15.75" customHeight="1">
      <c r="B34" s="3" t="s">
        <v>64</v>
      </c>
      <c r="C34" s="436"/>
      <c r="D34" s="371"/>
      <c r="E34" s="371"/>
      <c r="F34" s="371"/>
      <c r="G34" s="371"/>
      <c r="H34" s="371"/>
      <c r="I34" s="371"/>
      <c r="J34" s="371"/>
      <c r="K34" s="373"/>
      <c r="L34" s="435" t="s">
        <v>138</v>
      </c>
      <c r="M34" s="371"/>
      <c r="N34" s="371"/>
      <c r="O34" s="373"/>
      <c r="P34" s="370" t="e">
        <f>'Basic Data'!C39</f>
        <v>#REF!</v>
      </c>
      <c r="Q34" s="371"/>
      <c r="R34" s="429"/>
      <c r="S34" s="429"/>
      <c r="T34" s="109"/>
      <c r="U34" s="110"/>
    </row>
    <row r="35" spans="2:21" ht="15.75" customHeight="1">
      <c r="B35" s="3" t="s">
        <v>65</v>
      </c>
      <c r="C35" s="430"/>
      <c r="D35" s="371"/>
      <c r="E35" s="371"/>
      <c r="F35" s="371"/>
      <c r="G35" s="371"/>
      <c r="H35" s="371"/>
      <c r="I35" s="371"/>
      <c r="J35" s="371"/>
      <c r="K35" s="373"/>
      <c r="L35" s="435" t="s">
        <v>139</v>
      </c>
      <c r="M35" s="371"/>
      <c r="N35" s="371"/>
      <c r="O35" s="373"/>
      <c r="P35" s="370">
        <f>'Basic Data'!C40</f>
        <v>0</v>
      </c>
      <c r="Q35" s="371"/>
      <c r="R35" s="429"/>
      <c r="S35" s="429"/>
      <c r="T35" s="116"/>
      <c r="U35" s="117"/>
    </row>
    <row r="36" spans="2:21" ht="15.75" customHeight="1" thickBot="1">
      <c r="B36" s="3" t="s">
        <v>66</v>
      </c>
      <c r="C36" s="436"/>
      <c r="D36" s="371"/>
      <c r="E36" s="371"/>
      <c r="F36" s="371"/>
      <c r="G36" s="371"/>
      <c r="H36" s="371"/>
      <c r="I36" s="371"/>
      <c r="J36" s="371"/>
      <c r="K36" s="373"/>
      <c r="L36" s="435" t="s">
        <v>156</v>
      </c>
      <c r="M36" s="371"/>
      <c r="N36" s="371"/>
      <c r="O36" s="373"/>
      <c r="P36" s="370" t="e">
        <f>+#REF!+#REF!</f>
        <v>#REF!</v>
      </c>
      <c r="Q36" s="371"/>
      <c r="R36" s="12">
        <v>747</v>
      </c>
      <c r="S36" s="9" t="s">
        <v>9</v>
      </c>
      <c r="T36" s="118"/>
      <c r="U36" s="119" t="e">
        <f>SUM(P34:Q36)</f>
        <v>#REF!</v>
      </c>
    </row>
    <row r="37" spans="2:21" ht="15.75" customHeight="1" thickBot="1">
      <c r="B37" s="3">
        <v>23</v>
      </c>
      <c r="C37" s="414" t="s">
        <v>146</v>
      </c>
      <c r="D37" s="414"/>
      <c r="E37" s="414"/>
      <c r="F37" s="414"/>
      <c r="G37" s="414"/>
      <c r="H37" s="414"/>
      <c r="I37" s="414"/>
      <c r="J37" s="414"/>
      <c r="K37" s="414"/>
      <c r="L37" s="414"/>
      <c r="M37" s="414"/>
      <c r="N37" s="414"/>
      <c r="O37" s="414"/>
      <c r="P37" s="414"/>
      <c r="Q37" s="414"/>
      <c r="R37" s="12">
        <v>760</v>
      </c>
      <c r="S37" s="9" t="s">
        <v>9</v>
      </c>
      <c r="T37" s="105"/>
      <c r="U37" s="114" t="e">
        <f>ROUND(U32-U36,-1)</f>
        <v>#REF!</v>
      </c>
    </row>
    <row r="38" spans="2:21" ht="15.75" customHeight="1" thickBot="1">
      <c r="B38" s="3">
        <v>24</v>
      </c>
      <c r="C38" s="383" t="s">
        <v>19</v>
      </c>
      <c r="D38" s="383"/>
      <c r="E38" s="383"/>
      <c r="F38" s="383"/>
      <c r="G38" s="383"/>
      <c r="H38" s="383"/>
      <c r="I38" s="383"/>
      <c r="J38" s="383"/>
      <c r="K38" s="383"/>
      <c r="L38" s="383"/>
      <c r="M38" s="383"/>
      <c r="N38" s="383"/>
      <c r="O38" s="383"/>
      <c r="P38" s="383"/>
      <c r="Q38" s="383"/>
      <c r="R38" s="12">
        <v>762</v>
      </c>
      <c r="S38" s="9" t="s">
        <v>9</v>
      </c>
      <c r="T38" s="120"/>
      <c r="U38" s="107"/>
    </row>
    <row r="39" spans="2:21" ht="15.75" customHeight="1" thickBot="1">
      <c r="B39" s="3">
        <v>25</v>
      </c>
      <c r="C39" s="397" t="s">
        <v>20</v>
      </c>
      <c r="D39" s="398"/>
      <c r="E39" s="398"/>
      <c r="F39" s="398"/>
      <c r="G39" s="398"/>
      <c r="H39" s="398"/>
      <c r="I39" s="398"/>
      <c r="J39" s="398"/>
      <c r="K39" s="398"/>
      <c r="L39" s="398"/>
      <c r="M39" s="398"/>
      <c r="N39" s="398"/>
      <c r="O39" s="398"/>
      <c r="P39" s="398"/>
      <c r="Q39" s="398"/>
      <c r="R39" s="12">
        <v>125</v>
      </c>
      <c r="S39" s="9" t="s">
        <v>9</v>
      </c>
      <c r="T39" s="120"/>
      <c r="U39" s="107"/>
    </row>
    <row r="40" spans="2:21" ht="15.75" customHeight="1">
      <c r="B40" s="3">
        <v>26</v>
      </c>
      <c r="C40" s="20" t="s">
        <v>21</v>
      </c>
      <c r="D40" s="20"/>
      <c r="E40" s="385" t="s">
        <v>67</v>
      </c>
      <c r="F40" s="385"/>
      <c r="G40" s="385"/>
      <c r="H40" s="385"/>
      <c r="I40" s="385"/>
      <c r="J40" s="385"/>
      <c r="K40" s="4"/>
      <c r="L40" s="385" t="s">
        <v>68</v>
      </c>
      <c r="M40" s="385"/>
      <c r="N40" s="385"/>
      <c r="O40" s="385"/>
      <c r="P40" s="7"/>
      <c r="Q40" s="7"/>
      <c r="R40" s="384"/>
      <c r="S40" s="384"/>
      <c r="T40" s="115"/>
      <c r="U40" s="121" t="e">
        <f>+L41</f>
        <v>#REF!</v>
      </c>
    </row>
    <row r="41" spans="2:22" ht="15.75" customHeight="1" thickBot="1">
      <c r="B41" s="3"/>
      <c r="C41" s="22" t="s">
        <v>22</v>
      </c>
      <c r="D41" s="12">
        <v>772</v>
      </c>
      <c r="E41" s="389" t="e">
        <f>U37</f>
        <v>#REF!</v>
      </c>
      <c r="F41" s="389"/>
      <c r="G41" s="389"/>
      <c r="H41" s="389"/>
      <c r="I41" s="389"/>
      <c r="J41" s="389"/>
      <c r="K41" s="56">
        <v>802</v>
      </c>
      <c r="L41" s="382" t="e">
        <f>+#REF!</f>
        <v>#REF!</v>
      </c>
      <c r="M41" s="382"/>
      <c r="N41" s="382"/>
      <c r="O41" s="382"/>
      <c r="P41" s="44"/>
      <c r="Q41" s="44"/>
      <c r="R41" s="387"/>
      <c r="S41" s="387"/>
      <c r="T41" s="122"/>
      <c r="U41" s="117"/>
      <c r="V41" s="6"/>
    </row>
    <row r="42" spans="2:21" ht="15.75" customHeight="1" thickBot="1">
      <c r="B42" s="3"/>
      <c r="C42" s="22" t="s">
        <v>23</v>
      </c>
      <c r="D42" s="12">
        <v>768</v>
      </c>
      <c r="E42" s="381"/>
      <c r="F42" s="381"/>
      <c r="G42" s="381"/>
      <c r="H42" s="381"/>
      <c r="I42" s="381"/>
      <c r="J42" s="381"/>
      <c r="K42" s="12">
        <v>801</v>
      </c>
      <c r="L42" s="381"/>
      <c r="M42" s="381"/>
      <c r="N42" s="381"/>
      <c r="O42" s="381"/>
      <c r="P42" s="31"/>
      <c r="Q42" s="31"/>
      <c r="R42" s="12">
        <v>810</v>
      </c>
      <c r="S42" s="9" t="s">
        <v>9</v>
      </c>
      <c r="T42" s="118"/>
      <c r="U42" s="123"/>
    </row>
    <row r="43" spans="2:21" ht="15.75" customHeight="1">
      <c r="B43" s="3">
        <v>27</v>
      </c>
      <c r="C43" s="388" t="s">
        <v>69</v>
      </c>
      <c r="D43" s="388"/>
      <c r="E43" s="388"/>
      <c r="F43" s="388"/>
      <c r="G43" s="388"/>
      <c r="H43" s="388"/>
      <c r="I43" s="388"/>
      <c r="J43" s="388"/>
      <c r="K43" s="388"/>
      <c r="L43" s="388"/>
      <c r="M43" s="388"/>
      <c r="N43" s="388"/>
      <c r="O43" s="388"/>
      <c r="P43" s="388"/>
      <c r="Q43" s="388"/>
      <c r="R43" s="4"/>
      <c r="S43" s="4"/>
      <c r="T43" s="124"/>
      <c r="U43" s="125"/>
    </row>
    <row r="44" spans="2:21" ht="15.75" customHeight="1" thickBot="1">
      <c r="B44" s="3"/>
      <c r="C44" s="72" t="s">
        <v>50</v>
      </c>
      <c r="D44" s="12">
        <v>812</v>
      </c>
      <c r="E44" s="382">
        <f>'Basic Data'!C49</f>
        <v>0</v>
      </c>
      <c r="F44" s="382"/>
      <c r="G44" s="382"/>
      <c r="H44" s="382"/>
      <c r="I44" s="31" t="s">
        <v>54</v>
      </c>
      <c r="J44" s="31"/>
      <c r="K44" s="4"/>
      <c r="L44" s="12">
        <v>813</v>
      </c>
      <c r="M44" s="382"/>
      <c r="N44" s="382"/>
      <c r="O44" s="382"/>
      <c r="P44" s="31" t="s">
        <v>53</v>
      </c>
      <c r="Q44" s="4"/>
      <c r="R44" s="12">
        <v>820</v>
      </c>
      <c r="S44" s="9" t="s">
        <v>9</v>
      </c>
      <c r="T44" s="118"/>
      <c r="U44" s="119"/>
    </row>
    <row r="45" spans="2:21" ht="15.75" customHeight="1" thickBot="1">
      <c r="B45" s="3"/>
      <c r="C45" s="57" t="s">
        <v>51</v>
      </c>
      <c r="D45" s="12">
        <v>815</v>
      </c>
      <c r="E45" s="381"/>
      <c r="F45" s="381"/>
      <c r="G45" s="381"/>
      <c r="H45" s="381"/>
      <c r="I45" s="31" t="s">
        <v>52</v>
      </c>
      <c r="J45" s="31"/>
      <c r="K45" s="4"/>
      <c r="L45" s="12">
        <v>818</v>
      </c>
      <c r="M45" s="381"/>
      <c r="N45" s="381"/>
      <c r="O45" s="381"/>
      <c r="P45" s="12">
        <v>814</v>
      </c>
      <c r="Q45" s="70">
        <f>E44+E45+M44+M45</f>
        <v>0</v>
      </c>
      <c r="R45" s="70"/>
      <c r="S45" s="9"/>
      <c r="T45" s="126"/>
      <c r="U45" s="108"/>
    </row>
    <row r="46" spans="2:21" ht="15.75" customHeight="1" thickBot="1">
      <c r="B46" s="3"/>
      <c r="C46" s="22" t="s">
        <v>83</v>
      </c>
      <c r="D46" s="22"/>
      <c r="E46" s="26"/>
      <c r="F46" s="26"/>
      <c r="G46" s="26"/>
      <c r="H46" s="26"/>
      <c r="I46" s="26"/>
      <c r="J46" s="26"/>
      <c r="K46" s="26"/>
      <c r="L46" s="22"/>
      <c r="M46" s="26"/>
      <c r="N46" s="26"/>
      <c r="O46" s="26"/>
      <c r="P46" s="26"/>
      <c r="Q46" s="26"/>
      <c r="R46" s="12">
        <v>816</v>
      </c>
      <c r="S46" s="9" t="s">
        <v>55</v>
      </c>
      <c r="T46" s="127"/>
      <c r="U46" s="112"/>
    </row>
    <row r="47" spans="2:21" ht="15.75" customHeight="1" thickBot="1">
      <c r="B47" s="3"/>
      <c r="C47" s="383" t="s">
        <v>84</v>
      </c>
      <c r="D47" s="371"/>
      <c r="E47" s="371"/>
      <c r="F47" s="371"/>
      <c r="G47" s="371"/>
      <c r="H47" s="371"/>
      <c r="I47" s="371"/>
      <c r="J47" s="371"/>
      <c r="K47" s="371"/>
      <c r="L47" s="371"/>
      <c r="M47" s="371"/>
      <c r="N47" s="371"/>
      <c r="O47" s="371"/>
      <c r="P47" s="371"/>
      <c r="Q47" s="373"/>
      <c r="R47" s="12">
        <v>817</v>
      </c>
      <c r="S47" s="9" t="s">
        <v>55</v>
      </c>
      <c r="T47" s="120"/>
      <c r="U47" s="107"/>
    </row>
    <row r="48" spans="2:21" ht="15.75" customHeight="1" thickBot="1">
      <c r="B48" s="3"/>
      <c r="C48" s="383" t="s">
        <v>85</v>
      </c>
      <c r="D48" s="371"/>
      <c r="E48" s="371"/>
      <c r="F48" s="371"/>
      <c r="G48" s="371"/>
      <c r="H48" s="371"/>
      <c r="I48" s="371"/>
      <c r="J48" s="371"/>
      <c r="K48" s="371"/>
      <c r="L48" s="371"/>
      <c r="M48" s="371"/>
      <c r="N48" s="371"/>
      <c r="O48" s="371"/>
      <c r="P48" s="371"/>
      <c r="Q48" s="373"/>
      <c r="R48" s="12">
        <v>818</v>
      </c>
      <c r="S48" s="9" t="s">
        <v>55</v>
      </c>
      <c r="T48" s="128"/>
      <c r="U48" s="107"/>
    </row>
    <row r="49" spans="2:21" ht="15.75" customHeight="1" thickBot="1">
      <c r="B49" s="3">
        <v>28</v>
      </c>
      <c r="C49" s="414" t="s">
        <v>86</v>
      </c>
      <c r="D49" s="433"/>
      <c r="E49" s="433"/>
      <c r="F49" s="433"/>
      <c r="G49" s="433"/>
      <c r="H49" s="433"/>
      <c r="I49" s="433"/>
      <c r="J49" s="433"/>
      <c r="K49" s="433"/>
      <c r="L49" s="433"/>
      <c r="M49" s="433"/>
      <c r="N49" s="433"/>
      <c r="O49" s="433"/>
      <c r="P49" s="433"/>
      <c r="Q49" s="434"/>
      <c r="R49" s="12">
        <v>826</v>
      </c>
      <c r="S49" s="9" t="s">
        <v>9</v>
      </c>
      <c r="T49" s="129"/>
      <c r="U49" s="114" t="e">
        <f>U40-U44</f>
        <v>#REF!</v>
      </c>
    </row>
    <row r="50" spans="2:21" ht="15.75" customHeight="1" thickBot="1">
      <c r="B50" s="3">
        <v>29</v>
      </c>
      <c r="C50" s="383" t="s">
        <v>79</v>
      </c>
      <c r="D50" s="371"/>
      <c r="E50" s="371"/>
      <c r="F50" s="371"/>
      <c r="G50" s="371"/>
      <c r="H50" s="371"/>
      <c r="I50" s="371"/>
      <c r="J50" s="371"/>
      <c r="K50" s="371"/>
      <c r="L50" s="371"/>
      <c r="M50" s="371"/>
      <c r="N50" s="371"/>
      <c r="O50" s="371"/>
      <c r="P50" s="371"/>
      <c r="Q50" s="373"/>
      <c r="R50" s="12">
        <v>828</v>
      </c>
      <c r="S50" s="9" t="s">
        <v>9</v>
      </c>
      <c r="T50" s="128"/>
      <c r="U50" s="114" t="e">
        <f>+#REF!</f>
        <v>#REF!</v>
      </c>
    </row>
    <row r="51" spans="2:21" ht="15.75" customHeight="1">
      <c r="B51" s="3">
        <v>30</v>
      </c>
      <c r="C51" s="383" t="s">
        <v>56</v>
      </c>
      <c r="D51" s="371"/>
      <c r="E51" s="371"/>
      <c r="F51" s="371"/>
      <c r="G51" s="371"/>
      <c r="H51" s="371"/>
      <c r="I51" s="371"/>
      <c r="J51" s="371"/>
      <c r="K51" s="371"/>
      <c r="L51" s="371"/>
      <c r="M51" s="371"/>
      <c r="N51" s="371"/>
      <c r="O51" s="371"/>
      <c r="P51" s="371"/>
      <c r="Q51" s="373"/>
      <c r="R51" s="12">
        <v>834</v>
      </c>
      <c r="S51" s="9" t="s">
        <v>9</v>
      </c>
      <c r="T51" s="130"/>
      <c r="U51" s="131" t="e">
        <f>+#REF!</f>
        <v>#REF!</v>
      </c>
    </row>
    <row r="52" spans="2:21" ht="15.75" customHeight="1" thickBot="1">
      <c r="B52" s="3">
        <v>31</v>
      </c>
      <c r="C52" s="383" t="s">
        <v>78</v>
      </c>
      <c r="D52" s="371"/>
      <c r="E52" s="371"/>
      <c r="F52" s="371"/>
      <c r="G52" s="371"/>
      <c r="H52" s="371"/>
      <c r="I52" s="371"/>
      <c r="J52" s="371"/>
      <c r="K52" s="371"/>
      <c r="L52" s="371"/>
      <c r="M52" s="371"/>
      <c r="N52" s="371"/>
      <c r="O52" s="371"/>
      <c r="P52" s="371"/>
      <c r="Q52" s="373"/>
      <c r="R52" s="12">
        <v>832</v>
      </c>
      <c r="S52" s="9" t="s">
        <v>9</v>
      </c>
      <c r="T52" s="118"/>
      <c r="U52" s="119" t="e">
        <f>SUM(U49:U51)</f>
        <v>#REF!</v>
      </c>
    </row>
    <row r="53" spans="2:21" ht="15.75" customHeight="1" thickBot="1">
      <c r="B53" s="3">
        <v>32</v>
      </c>
      <c r="C53" s="383" t="s">
        <v>201</v>
      </c>
      <c r="D53" s="371"/>
      <c r="E53" s="371"/>
      <c r="F53" s="371"/>
      <c r="G53" s="371"/>
      <c r="H53" s="371"/>
      <c r="I53" s="371"/>
      <c r="J53" s="371"/>
      <c r="K53" s="371"/>
      <c r="L53" s="371"/>
      <c r="M53" s="371"/>
      <c r="N53" s="371"/>
      <c r="O53" s="371"/>
      <c r="P53" s="371"/>
      <c r="Q53" s="373"/>
      <c r="R53" s="12">
        <v>837</v>
      </c>
      <c r="S53" s="9" t="s">
        <v>9</v>
      </c>
      <c r="T53" s="128"/>
      <c r="U53" s="114" t="e">
        <f>+#REF!</f>
        <v>#REF!</v>
      </c>
    </row>
    <row r="54" spans="2:21" ht="15.75" customHeight="1" thickBot="1">
      <c r="B54" s="3">
        <v>33</v>
      </c>
      <c r="C54" s="383" t="s">
        <v>24</v>
      </c>
      <c r="D54" s="371"/>
      <c r="E54" s="371"/>
      <c r="F54" s="371"/>
      <c r="G54" s="371"/>
      <c r="H54" s="371"/>
      <c r="I54" s="371"/>
      <c r="J54" s="371"/>
      <c r="K54" s="371"/>
      <c r="L54" s="371"/>
      <c r="M54" s="371"/>
      <c r="N54" s="371"/>
      <c r="O54" s="371"/>
      <c r="P54" s="371"/>
      <c r="Q54" s="373"/>
      <c r="R54" s="12">
        <v>840</v>
      </c>
      <c r="S54" s="9" t="s">
        <v>9</v>
      </c>
      <c r="T54" s="129"/>
      <c r="U54" s="114" t="e">
        <f>ROUND(U52-U53,0)</f>
        <v>#REF!</v>
      </c>
    </row>
    <row r="55" spans="2:21" ht="15.75" customHeight="1" thickBot="1">
      <c r="B55" s="3">
        <v>34</v>
      </c>
      <c r="C55" s="383" t="s">
        <v>25</v>
      </c>
      <c r="D55" s="371"/>
      <c r="E55" s="371"/>
      <c r="F55" s="371"/>
      <c r="G55" s="371"/>
      <c r="H55" s="371"/>
      <c r="I55" s="371"/>
      <c r="J55" s="371"/>
      <c r="K55" s="371"/>
      <c r="L55" s="371"/>
      <c r="M55" s="371"/>
      <c r="N55" s="371"/>
      <c r="O55" s="371"/>
      <c r="P55" s="371"/>
      <c r="Q55" s="373"/>
      <c r="R55" s="12">
        <v>873</v>
      </c>
      <c r="S55" s="9" t="s">
        <v>9</v>
      </c>
      <c r="T55" s="129"/>
      <c r="U55" s="114" t="e">
        <f>+'Basic Data'!C51</f>
        <v>#REF!</v>
      </c>
    </row>
    <row r="56" spans="2:21" ht="12.75">
      <c r="B56" s="18">
        <v>35</v>
      </c>
      <c r="C56" s="47" t="s">
        <v>26</v>
      </c>
      <c r="D56" s="47"/>
      <c r="E56" s="47"/>
      <c r="F56" s="47"/>
      <c r="G56" s="47"/>
      <c r="H56" s="47"/>
      <c r="I56" s="48"/>
      <c r="J56" s="48"/>
      <c r="K56" s="48"/>
      <c r="L56" s="48"/>
      <c r="M56" s="48"/>
      <c r="N56" s="48"/>
      <c r="O56" s="48"/>
      <c r="P56" s="48"/>
      <c r="Q56" s="48"/>
      <c r="R56" s="48"/>
      <c r="S56" s="61"/>
      <c r="T56" s="46"/>
      <c r="U56" s="102"/>
    </row>
    <row r="57" spans="2:21" ht="12.75">
      <c r="B57" s="372" t="s">
        <v>40</v>
      </c>
      <c r="C57" s="371"/>
      <c r="D57" s="373"/>
      <c r="E57" s="370" t="s">
        <v>41</v>
      </c>
      <c r="F57" s="371"/>
      <c r="G57" s="371"/>
      <c r="H57" s="371"/>
      <c r="I57" s="371"/>
      <c r="J57" s="371"/>
      <c r="K57" s="373"/>
      <c r="L57" s="370" t="s">
        <v>42</v>
      </c>
      <c r="M57" s="371"/>
      <c r="N57" s="371"/>
      <c r="O57" s="373"/>
      <c r="P57" s="370" t="s">
        <v>43</v>
      </c>
      <c r="Q57" s="371"/>
      <c r="R57" s="371"/>
      <c r="S57" s="373"/>
      <c r="T57" s="375" t="s">
        <v>44</v>
      </c>
      <c r="U57" s="386"/>
    </row>
    <row r="58" spans="2:21" ht="15.75" customHeight="1">
      <c r="B58" s="372"/>
      <c r="C58" s="371"/>
      <c r="D58" s="373"/>
      <c r="E58" s="370"/>
      <c r="F58" s="371"/>
      <c r="G58" s="371"/>
      <c r="H58" s="371"/>
      <c r="I58" s="371"/>
      <c r="J58" s="371"/>
      <c r="K58" s="373"/>
      <c r="L58" s="370"/>
      <c r="M58" s="371"/>
      <c r="N58" s="371"/>
      <c r="O58" s="373"/>
      <c r="P58" s="370"/>
      <c r="Q58" s="371"/>
      <c r="R58" s="371"/>
      <c r="S58" s="373"/>
      <c r="T58" s="93"/>
      <c r="U58" s="103"/>
    </row>
    <row r="59" spans="2:21" ht="15.75" customHeight="1">
      <c r="B59" s="372"/>
      <c r="C59" s="371"/>
      <c r="D59" s="373"/>
      <c r="E59" s="370"/>
      <c r="F59" s="371"/>
      <c r="G59" s="371"/>
      <c r="H59" s="371"/>
      <c r="I59" s="371"/>
      <c r="J59" s="371"/>
      <c r="K59" s="373"/>
      <c r="L59" s="370"/>
      <c r="M59" s="371"/>
      <c r="N59" s="371"/>
      <c r="O59" s="373"/>
      <c r="P59" s="370"/>
      <c r="Q59" s="371"/>
      <c r="R59" s="371"/>
      <c r="S59" s="373"/>
      <c r="T59" s="93"/>
      <c r="U59" s="103"/>
    </row>
    <row r="60" spans="2:21" ht="15.75" customHeight="1">
      <c r="B60" s="372"/>
      <c r="C60" s="371"/>
      <c r="D60" s="373"/>
      <c r="E60" s="370"/>
      <c r="F60" s="371"/>
      <c r="G60" s="371"/>
      <c r="H60" s="371"/>
      <c r="I60" s="371"/>
      <c r="J60" s="371"/>
      <c r="K60" s="373"/>
      <c r="L60" s="370"/>
      <c r="M60" s="371"/>
      <c r="N60" s="371"/>
      <c r="O60" s="373"/>
      <c r="P60" s="370"/>
      <c r="Q60" s="371"/>
      <c r="R60" s="371"/>
      <c r="S60" s="373"/>
      <c r="T60" s="98"/>
      <c r="U60" s="103"/>
    </row>
    <row r="61" spans="2:21" ht="12.75">
      <c r="B61" s="372" t="s">
        <v>70</v>
      </c>
      <c r="C61" s="373"/>
      <c r="D61" s="370" t="s">
        <v>93</v>
      </c>
      <c r="E61" s="371"/>
      <c r="F61" s="50">
        <v>858</v>
      </c>
      <c r="G61" s="375" t="s">
        <v>94</v>
      </c>
      <c r="H61" s="371"/>
      <c r="I61" s="374">
        <v>859</v>
      </c>
      <c r="J61" s="373"/>
      <c r="K61" s="375" t="s">
        <v>95</v>
      </c>
      <c r="L61" s="373"/>
      <c r="M61" s="49">
        <v>860</v>
      </c>
      <c r="N61" s="50"/>
      <c r="O61" s="375" t="s">
        <v>96</v>
      </c>
      <c r="P61" s="373"/>
      <c r="Q61" s="68" t="s">
        <v>97</v>
      </c>
      <c r="R61" s="390" t="s">
        <v>45</v>
      </c>
      <c r="S61" s="392" t="s">
        <v>98</v>
      </c>
      <c r="T61" s="27"/>
      <c r="U61" s="28"/>
    </row>
    <row r="62" spans="2:21" ht="20.25" customHeight="1" thickBot="1">
      <c r="B62" s="368" t="s">
        <v>27</v>
      </c>
      <c r="C62" s="369"/>
      <c r="D62" s="376"/>
      <c r="E62" s="377"/>
      <c r="F62" s="369"/>
      <c r="G62" s="376"/>
      <c r="H62" s="377"/>
      <c r="I62" s="377"/>
      <c r="J62" s="369"/>
      <c r="K62" s="378"/>
      <c r="L62" s="379"/>
      <c r="M62" s="379"/>
      <c r="N62" s="380"/>
      <c r="O62" s="393"/>
      <c r="P62" s="379"/>
      <c r="Q62" s="380"/>
      <c r="R62" s="391"/>
      <c r="S62" s="379"/>
      <c r="T62" s="67"/>
      <c r="U62" s="133">
        <v>0</v>
      </c>
    </row>
    <row r="63" spans="2:21" ht="24.75" customHeight="1" thickBot="1">
      <c r="B63" s="3">
        <v>36</v>
      </c>
      <c r="C63" s="63" t="s">
        <v>100</v>
      </c>
      <c r="D63" s="8"/>
      <c r="E63" s="66" t="s">
        <v>28</v>
      </c>
      <c r="F63" s="381" t="e">
        <f>+#REF!</f>
        <v>#REF!</v>
      </c>
      <c r="G63" s="381"/>
      <c r="H63" s="8"/>
      <c r="I63" s="23" t="s">
        <v>29</v>
      </c>
      <c r="J63" s="24"/>
      <c r="K63" s="381" t="e">
        <f>+#REF!</f>
        <v>#REF!</v>
      </c>
      <c r="L63" s="381"/>
      <c r="M63" s="24" t="s">
        <v>30</v>
      </c>
      <c r="N63" s="381" t="e">
        <f>+#REF!</f>
        <v>#REF!</v>
      </c>
      <c r="O63" s="381"/>
      <c r="P63" s="381"/>
      <c r="Q63" s="24" t="s">
        <v>45</v>
      </c>
      <c r="R63" s="12">
        <v>851</v>
      </c>
      <c r="S63" s="9" t="s">
        <v>9</v>
      </c>
      <c r="T63" s="100"/>
      <c r="U63" s="153" t="e">
        <f>+F63+K63+N63</f>
        <v>#REF!</v>
      </c>
    </row>
    <row r="64" spans="2:21" ht="19.5" customHeight="1" thickBot="1">
      <c r="B64" s="3">
        <v>37</v>
      </c>
      <c r="C64" s="400" t="s">
        <v>31</v>
      </c>
      <c r="D64" s="401"/>
      <c r="E64" s="401"/>
      <c r="F64" s="401"/>
      <c r="G64" s="401"/>
      <c r="H64" s="401"/>
      <c r="I64" s="401"/>
      <c r="J64" s="401"/>
      <c r="K64" s="401"/>
      <c r="L64" s="401"/>
      <c r="M64" s="401"/>
      <c r="N64" s="401"/>
      <c r="O64" s="401"/>
      <c r="P64" s="401"/>
      <c r="Q64" s="402"/>
      <c r="R64" s="12">
        <v>888</v>
      </c>
      <c r="S64" s="9" t="s">
        <v>9</v>
      </c>
      <c r="T64" s="99"/>
      <c r="U64" s="154" t="e">
        <f>+#REF!</f>
        <v>#REF!</v>
      </c>
    </row>
    <row r="65" spans="2:21" ht="12.75">
      <c r="B65" s="372" t="s">
        <v>40</v>
      </c>
      <c r="C65" s="371"/>
      <c r="D65" s="373"/>
      <c r="E65" s="370" t="s">
        <v>46</v>
      </c>
      <c r="F65" s="371"/>
      <c r="G65" s="371"/>
      <c r="H65" s="371"/>
      <c r="I65" s="371"/>
      <c r="J65" s="371"/>
      <c r="K65" s="373"/>
      <c r="L65" s="370" t="s">
        <v>47</v>
      </c>
      <c r="M65" s="371"/>
      <c r="N65" s="371"/>
      <c r="O65" s="373"/>
      <c r="P65" s="370" t="s">
        <v>48</v>
      </c>
      <c r="Q65" s="371"/>
      <c r="R65" s="371"/>
      <c r="S65" s="373"/>
      <c r="T65" s="431" t="s">
        <v>49</v>
      </c>
      <c r="U65" s="432"/>
    </row>
    <row r="66" spans="2:21" ht="18" customHeight="1">
      <c r="B66" s="372"/>
      <c r="C66" s="371"/>
      <c r="D66" s="373"/>
      <c r="E66" s="399"/>
      <c r="F66" s="371"/>
      <c r="G66" s="371"/>
      <c r="H66" s="371"/>
      <c r="I66" s="371"/>
      <c r="J66" s="371"/>
      <c r="K66" s="373"/>
      <c r="L66" s="399"/>
      <c r="M66" s="371"/>
      <c r="N66" s="371"/>
      <c r="O66" s="373"/>
      <c r="P66" s="370"/>
      <c r="Q66" s="371"/>
      <c r="R66" s="371"/>
      <c r="S66" s="373"/>
      <c r="T66" s="98"/>
      <c r="U66" s="103"/>
    </row>
    <row r="67" spans="2:21" ht="17.25" customHeight="1">
      <c r="B67" s="406"/>
      <c r="C67" s="398"/>
      <c r="D67" s="427"/>
      <c r="E67" s="399"/>
      <c r="F67" s="371"/>
      <c r="G67" s="371"/>
      <c r="H67" s="371"/>
      <c r="I67" s="371"/>
      <c r="J67" s="371"/>
      <c r="K67" s="373"/>
      <c r="L67" s="399"/>
      <c r="M67" s="371"/>
      <c r="N67" s="371"/>
      <c r="O67" s="373"/>
      <c r="P67" s="370"/>
      <c r="Q67" s="371"/>
      <c r="R67" s="371"/>
      <c r="S67" s="373"/>
      <c r="T67" s="98"/>
      <c r="U67" s="103"/>
    </row>
    <row r="68" spans="2:21" ht="17.25" customHeight="1" thickBot="1">
      <c r="B68" s="3">
        <v>38</v>
      </c>
      <c r="C68" s="396" t="s">
        <v>32</v>
      </c>
      <c r="D68" s="371"/>
      <c r="E68" s="371"/>
      <c r="F68" s="371"/>
      <c r="G68" s="371"/>
      <c r="H68" s="371"/>
      <c r="I68" s="371"/>
      <c r="J68" s="371"/>
      <c r="K68" s="371"/>
      <c r="L68" s="371"/>
      <c r="M68" s="371"/>
      <c r="N68" s="371"/>
      <c r="O68" s="371"/>
      <c r="P68" s="371"/>
      <c r="Q68" s="373"/>
      <c r="R68" s="12">
        <v>891</v>
      </c>
      <c r="S68" s="9" t="s">
        <v>9</v>
      </c>
      <c r="T68" s="97"/>
      <c r="U68" s="132" t="e">
        <f>U54-U55-U64+U63</f>
        <v>#REF!</v>
      </c>
    </row>
    <row r="69" spans="2:21" ht="9.75" customHeight="1">
      <c r="B69" s="404"/>
      <c r="C69" s="401"/>
      <c r="D69" s="401"/>
      <c r="E69" s="401"/>
      <c r="F69" s="401"/>
      <c r="G69" s="401"/>
      <c r="H69" s="401"/>
      <c r="I69" s="401"/>
      <c r="J69" s="401"/>
      <c r="K69" s="401"/>
      <c r="L69" s="401"/>
      <c r="M69" s="401"/>
      <c r="N69" s="401"/>
      <c r="O69" s="401"/>
      <c r="P69" s="401"/>
      <c r="Q69" s="401"/>
      <c r="R69" s="401"/>
      <c r="S69" s="401"/>
      <c r="T69" s="401"/>
      <c r="U69" s="405"/>
    </row>
    <row r="70" spans="2:21" ht="17.25" customHeight="1">
      <c r="B70" s="418" t="s">
        <v>33</v>
      </c>
      <c r="C70" s="398"/>
      <c r="D70" s="398"/>
      <c r="E70" s="398"/>
      <c r="F70" s="398"/>
      <c r="G70" s="398"/>
      <c r="H70" s="398"/>
      <c r="I70" s="398"/>
      <c r="J70" s="398"/>
      <c r="K70" s="398"/>
      <c r="L70" s="398"/>
      <c r="M70" s="398"/>
      <c r="N70" s="398"/>
      <c r="O70" s="398"/>
      <c r="P70" s="398"/>
      <c r="Q70" s="398"/>
      <c r="R70" s="398"/>
      <c r="S70" s="398"/>
      <c r="T70" s="398"/>
      <c r="U70" s="407"/>
    </row>
    <row r="71" spans="2:21" ht="12.75">
      <c r="B71" s="3">
        <v>1</v>
      </c>
      <c r="C71" s="388">
        <f>+PROPER('Basic Data'!C18)</f>
      </c>
      <c r="D71" s="388"/>
      <c r="E71" s="388"/>
      <c r="F71" s="388"/>
      <c r="G71" s="388"/>
      <c r="H71" s="388"/>
      <c r="I71" s="388"/>
      <c r="J71" s="388"/>
      <c r="K71" s="388"/>
      <c r="L71" s="388"/>
      <c r="M71" s="388"/>
      <c r="N71" s="4">
        <v>2</v>
      </c>
      <c r="O71" s="388">
        <f>+PROPER('Basic Data'!C19)</f>
      </c>
      <c r="P71" s="409"/>
      <c r="Q71" s="409"/>
      <c r="R71" s="409"/>
      <c r="S71" s="409"/>
      <c r="T71" s="409"/>
      <c r="U71" s="410"/>
    </row>
    <row r="72" spans="2:21" ht="12.75">
      <c r="B72" s="3">
        <v>3</v>
      </c>
      <c r="C72" s="419">
        <f>+PROPER('Basic Data'!C20)</f>
      </c>
      <c r="D72" s="419"/>
      <c r="E72" s="419"/>
      <c r="F72" s="419"/>
      <c r="G72" s="419"/>
      <c r="H72" s="419"/>
      <c r="I72" s="419"/>
      <c r="J72" s="419"/>
      <c r="K72" s="419"/>
      <c r="L72" s="419"/>
      <c r="M72" s="419"/>
      <c r="N72" s="4">
        <v>4</v>
      </c>
      <c r="O72" s="388">
        <f>+PROPER('Basic Data'!C21)</f>
      </c>
      <c r="P72" s="409"/>
      <c r="Q72" s="409"/>
      <c r="R72" s="409"/>
      <c r="S72" s="409"/>
      <c r="T72" s="409"/>
      <c r="U72" s="410"/>
    </row>
    <row r="73" spans="2:21" ht="12.75">
      <c r="B73" s="3">
        <v>5</v>
      </c>
      <c r="C73" s="388">
        <f>+'Basic Data'!C22</f>
        <v>0</v>
      </c>
      <c r="D73" s="388"/>
      <c r="E73" s="388"/>
      <c r="F73" s="388"/>
      <c r="G73" s="388"/>
      <c r="H73" s="388"/>
      <c r="I73" s="388"/>
      <c r="J73" s="388"/>
      <c r="K73" s="388"/>
      <c r="L73" s="388"/>
      <c r="M73" s="388"/>
      <c r="N73" s="4">
        <v>6</v>
      </c>
      <c r="O73" s="388">
        <f>+'Basic Data'!C23</f>
        <v>0</v>
      </c>
      <c r="P73" s="411"/>
      <c r="Q73" s="411"/>
      <c r="R73" s="411"/>
      <c r="S73" s="411"/>
      <c r="T73" s="411"/>
      <c r="U73" s="412"/>
    </row>
    <row r="74" spans="2:21" ht="12.75">
      <c r="B74" s="404"/>
      <c r="C74" s="401"/>
      <c r="D74" s="401"/>
      <c r="E74" s="401"/>
      <c r="F74" s="401"/>
      <c r="G74" s="401"/>
      <c r="H74" s="401"/>
      <c r="I74" s="401"/>
      <c r="J74" s="401"/>
      <c r="K74" s="401"/>
      <c r="L74" s="401"/>
      <c r="M74" s="401"/>
      <c r="N74" s="401"/>
      <c r="O74" s="401"/>
      <c r="P74" s="401"/>
      <c r="Q74" s="401"/>
      <c r="R74" s="401"/>
      <c r="S74" s="401"/>
      <c r="T74" s="401"/>
      <c r="U74" s="405"/>
    </row>
    <row r="75" spans="2:21" ht="12.75">
      <c r="B75" s="426" t="s">
        <v>34</v>
      </c>
      <c r="C75" s="398"/>
      <c r="D75" s="398"/>
      <c r="E75" s="398"/>
      <c r="F75" s="398"/>
      <c r="G75" s="398"/>
      <c r="H75" s="398"/>
      <c r="I75" s="398"/>
      <c r="J75" s="398"/>
      <c r="K75" s="398"/>
      <c r="L75" s="398"/>
      <c r="M75" s="398"/>
      <c r="N75" s="398"/>
      <c r="O75" s="398"/>
      <c r="P75" s="398"/>
      <c r="Q75" s="398"/>
      <c r="R75" s="398"/>
      <c r="S75" s="398"/>
      <c r="T75" s="398"/>
      <c r="U75" s="407"/>
    </row>
    <row r="76" spans="2:21" ht="46.5" customHeight="1">
      <c r="B76" s="3"/>
      <c r="C76" s="408" t="str">
        <f>"I, "&amp;D7&amp;"   son/daughter of  "&amp;R7&amp;" solemnly declare that to the best of my knowledge   and belief, the information given in this return and the annexures and statements accompanying it are correct, complete "&amp;"  and truly stated and in accordance with the provisions of the Income-Tax Act, 1961, in respect of income chargeable to "&amp;" income-tax for the previous year relevant to the assessment year "&amp;F15</f>
        <v>I, MANOJ KUMAR VALLBHANENI   son/daughter of   solemnly declare that to the best of my knowledge   and belief, the information given in this return and the annexures and statements accompanying it are correct, complete   and truly stated and in accordance with the provisions of the Income-Tax Act, 1961, in respect of income chargeable to  income-tax for the previous year relevant to the assessment year 2006-07</v>
      </c>
      <c r="D76" s="409"/>
      <c r="E76" s="409"/>
      <c r="F76" s="409"/>
      <c r="G76" s="409"/>
      <c r="H76" s="409"/>
      <c r="I76" s="409"/>
      <c r="J76" s="409"/>
      <c r="K76" s="409"/>
      <c r="L76" s="409"/>
      <c r="M76" s="409"/>
      <c r="N76" s="409"/>
      <c r="O76" s="409"/>
      <c r="P76" s="409"/>
      <c r="Q76" s="409"/>
      <c r="R76" s="409"/>
      <c r="S76" s="409"/>
      <c r="T76" s="409"/>
      <c r="U76" s="410"/>
    </row>
    <row r="77" spans="2:21" ht="12.75">
      <c r="B77" s="404"/>
      <c r="C77" s="401"/>
      <c r="D77" s="401"/>
      <c r="E77" s="401"/>
      <c r="F77" s="401"/>
      <c r="G77" s="401"/>
      <c r="H77" s="401"/>
      <c r="I77" s="401"/>
      <c r="J77" s="401"/>
      <c r="K77" s="401"/>
      <c r="L77" s="401"/>
      <c r="M77" s="401"/>
      <c r="N77" s="401"/>
      <c r="O77" s="401"/>
      <c r="P77" s="401"/>
      <c r="Q77" s="401"/>
      <c r="R77" s="401"/>
      <c r="S77" s="401"/>
      <c r="T77" s="401"/>
      <c r="U77" s="405"/>
    </row>
    <row r="78" spans="2:21" ht="12.75">
      <c r="B78" s="406"/>
      <c r="C78" s="398"/>
      <c r="D78" s="398"/>
      <c r="E78" s="398"/>
      <c r="F78" s="398"/>
      <c r="G78" s="398"/>
      <c r="H78" s="398"/>
      <c r="I78" s="398"/>
      <c r="J78" s="398"/>
      <c r="K78" s="398"/>
      <c r="L78" s="398"/>
      <c r="M78" s="398"/>
      <c r="N78" s="398"/>
      <c r="O78" s="398"/>
      <c r="P78" s="398"/>
      <c r="Q78" s="398"/>
      <c r="R78" s="398"/>
      <c r="S78" s="398"/>
      <c r="T78" s="398"/>
      <c r="U78" s="407"/>
    </row>
    <row r="79" spans="2:21" ht="12.75">
      <c r="B79" s="3"/>
      <c r="C79" s="35" t="s">
        <v>108</v>
      </c>
      <c r="D79" s="27"/>
      <c r="E79" s="27"/>
      <c r="F79" s="27"/>
      <c r="G79" s="39" t="s">
        <v>73</v>
      </c>
      <c r="H79" s="27"/>
      <c r="I79" s="27"/>
      <c r="J79" s="27"/>
      <c r="K79" s="33"/>
      <c r="L79" s="7"/>
      <c r="M79" s="7"/>
      <c r="N79" s="7"/>
      <c r="O79" s="13"/>
      <c r="P79" s="13"/>
      <c r="Q79" s="4"/>
      <c r="R79" s="384"/>
      <c r="S79" s="409"/>
      <c r="T79" s="409"/>
      <c r="U79" s="410"/>
    </row>
    <row r="80" spans="2:21" ht="12.75">
      <c r="B80" s="3"/>
      <c r="C80" s="25"/>
      <c r="D80" s="7"/>
      <c r="E80" s="7"/>
      <c r="F80" s="7"/>
      <c r="G80" s="7"/>
      <c r="H80" s="7"/>
      <c r="I80" s="7"/>
      <c r="J80" s="7"/>
      <c r="K80" s="30"/>
      <c r="L80" s="7"/>
      <c r="M80" s="7"/>
      <c r="N80" s="7"/>
      <c r="O80" s="7"/>
      <c r="P80" s="7"/>
      <c r="Q80" s="4"/>
      <c r="R80" s="384"/>
      <c r="S80" s="409"/>
      <c r="T80" s="409"/>
      <c r="U80" s="410"/>
    </row>
    <row r="81" spans="2:21" ht="12.75">
      <c r="B81" s="3"/>
      <c r="C81" s="37" t="s">
        <v>109</v>
      </c>
      <c r="D81" s="31"/>
      <c r="E81" s="31"/>
      <c r="F81" s="31"/>
      <c r="G81" s="31"/>
      <c r="H81" s="31"/>
      <c r="I81" s="31"/>
      <c r="J81" s="31"/>
      <c r="K81" s="69"/>
      <c r="L81" s="31"/>
      <c r="M81" s="31"/>
      <c r="N81" s="31"/>
      <c r="O81" s="31"/>
      <c r="P81" s="31"/>
      <c r="Q81" s="4"/>
      <c r="R81" s="4"/>
      <c r="S81" s="4"/>
      <c r="T81" s="4"/>
      <c r="U81" s="38"/>
    </row>
    <row r="82" spans="2:21" ht="13.5" thickBot="1">
      <c r="B82" s="3"/>
      <c r="C82" s="25"/>
      <c r="D82" s="7"/>
      <c r="E82" s="7"/>
      <c r="F82" s="7"/>
      <c r="G82" s="7"/>
      <c r="H82" s="7"/>
      <c r="I82" s="7"/>
      <c r="J82" s="7"/>
      <c r="K82" s="30"/>
      <c r="L82" s="7"/>
      <c r="M82" s="4" t="s">
        <v>71</v>
      </c>
      <c r="N82" s="7"/>
      <c r="O82" s="403">
        <f ca="1">+NOW()</f>
        <v>41492.73560717593</v>
      </c>
      <c r="P82" s="403"/>
      <c r="Q82" s="4"/>
      <c r="R82" s="70"/>
      <c r="S82" s="422"/>
      <c r="T82" s="379"/>
      <c r="U82" s="421"/>
    </row>
    <row r="83" spans="2:21" ht="12.75">
      <c r="B83" s="3"/>
      <c r="C83" s="23"/>
      <c r="D83" s="24"/>
      <c r="E83" s="24"/>
      <c r="F83" s="24"/>
      <c r="G83" s="24"/>
      <c r="H83" s="24"/>
      <c r="I83" s="24"/>
      <c r="J83" s="24"/>
      <c r="K83" s="29"/>
      <c r="L83" s="7"/>
      <c r="M83" s="4" t="s">
        <v>72</v>
      </c>
      <c r="N83" s="7"/>
      <c r="O83" s="4" t="s">
        <v>128</v>
      </c>
      <c r="P83" s="7"/>
      <c r="Q83" s="4"/>
      <c r="R83" s="423" t="s">
        <v>35</v>
      </c>
      <c r="S83" s="424"/>
      <c r="T83" s="424"/>
      <c r="U83" s="425"/>
    </row>
    <row r="84" spans="2:21" ht="13.5" thickBot="1">
      <c r="B84" s="420"/>
      <c r="C84" s="379"/>
      <c r="D84" s="379"/>
      <c r="E84" s="379"/>
      <c r="F84" s="379"/>
      <c r="G84" s="379"/>
      <c r="H84" s="379"/>
      <c r="I84" s="379"/>
      <c r="J84" s="379"/>
      <c r="K84" s="379"/>
      <c r="L84" s="379"/>
      <c r="M84" s="379"/>
      <c r="N84" s="379"/>
      <c r="O84" s="379"/>
      <c r="P84" s="379"/>
      <c r="Q84" s="379"/>
      <c r="R84" s="379"/>
      <c r="S84" s="379"/>
      <c r="T84" s="379"/>
      <c r="U84" s="421"/>
    </row>
  </sheetData>
  <sheetProtection/>
  <mergeCells count="158">
    <mergeCell ref="Q1:T1"/>
    <mergeCell ref="T11:U11"/>
    <mergeCell ref="T13:U13"/>
    <mergeCell ref="S15:U15"/>
    <mergeCell ref="S2:U2"/>
    <mergeCell ref="B4:U4"/>
    <mergeCell ref="B3:U3"/>
    <mergeCell ref="R8:U8"/>
    <mergeCell ref="G2:Q2"/>
    <mergeCell ref="R9:U9"/>
    <mergeCell ref="R7:U7"/>
    <mergeCell ref="E10:H10"/>
    <mergeCell ref="L10:M10"/>
    <mergeCell ref="P17:Q18"/>
    <mergeCell ref="D7:M7"/>
    <mergeCell ref="G17:K18"/>
    <mergeCell ref="R17:T18"/>
    <mergeCell ref="C9:M9"/>
    <mergeCell ref="B5:U5"/>
    <mergeCell ref="D8:M8"/>
    <mergeCell ref="E27:F27"/>
    <mergeCell ref="N26:O26"/>
    <mergeCell ref="G12:M12"/>
    <mergeCell ref="B17:F18"/>
    <mergeCell ref="M16:U16"/>
    <mergeCell ref="B21:C21"/>
    <mergeCell ref="U17:U18"/>
    <mergeCell ref="L17:O18"/>
    <mergeCell ref="G19:K19"/>
    <mergeCell ref="C30:Q30"/>
    <mergeCell ref="H28:J28"/>
    <mergeCell ref="E28:F28"/>
    <mergeCell ref="E29:F29"/>
    <mergeCell ref="R19:T19"/>
    <mergeCell ref="P19:Q19"/>
    <mergeCell ref="L19:O19"/>
    <mergeCell ref="C24:Q24"/>
    <mergeCell ref="H29:J29"/>
    <mergeCell ref="C25:Q25"/>
    <mergeCell ref="C23:Q23"/>
    <mergeCell ref="E26:F26"/>
    <mergeCell ref="H26:J26"/>
    <mergeCell ref="C31:Q31"/>
    <mergeCell ref="L33:O33"/>
    <mergeCell ref="L41:O41"/>
    <mergeCell ref="L40:O40"/>
    <mergeCell ref="P36:Q36"/>
    <mergeCell ref="R35:S35"/>
    <mergeCell ref="C37:Q37"/>
    <mergeCell ref="C34:K34"/>
    <mergeCell ref="L34:O34"/>
    <mergeCell ref="L35:O35"/>
    <mergeCell ref="C36:K36"/>
    <mergeCell ref="T65:U65"/>
    <mergeCell ref="C49:Q49"/>
    <mergeCell ref="C54:Q54"/>
    <mergeCell ref="C51:Q51"/>
    <mergeCell ref="C52:Q52"/>
    <mergeCell ref="P33:Q33"/>
    <mergeCell ref="P57:S57"/>
    <mergeCell ref="E42:J42"/>
    <mergeCell ref="P35:Q35"/>
    <mergeCell ref="L36:O36"/>
    <mergeCell ref="L66:O66"/>
    <mergeCell ref="E66:K66"/>
    <mergeCell ref="B67:D67"/>
    <mergeCell ref="B66:D66"/>
    <mergeCell ref="P66:S66"/>
    <mergeCell ref="H27:J27"/>
    <mergeCell ref="R34:S34"/>
    <mergeCell ref="C35:K35"/>
    <mergeCell ref="P34:Q34"/>
    <mergeCell ref="C32:Q32"/>
    <mergeCell ref="B84:U84"/>
    <mergeCell ref="S82:U82"/>
    <mergeCell ref="R79:U79"/>
    <mergeCell ref="R80:U80"/>
    <mergeCell ref="R83:U83"/>
    <mergeCell ref="B75:U75"/>
    <mergeCell ref="B19:F19"/>
    <mergeCell ref="C22:Q22"/>
    <mergeCell ref="I20:U20"/>
    <mergeCell ref="D21:L21"/>
    <mergeCell ref="P21:U21"/>
    <mergeCell ref="B74:U74"/>
    <mergeCell ref="C73:M73"/>
    <mergeCell ref="C71:M71"/>
    <mergeCell ref="B70:U70"/>
    <mergeCell ref="C72:M72"/>
    <mergeCell ref="P67:S67"/>
    <mergeCell ref="O82:P82"/>
    <mergeCell ref="B77:U77"/>
    <mergeCell ref="B78:U78"/>
    <mergeCell ref="C76:U76"/>
    <mergeCell ref="B69:U69"/>
    <mergeCell ref="O72:U72"/>
    <mergeCell ref="O73:U73"/>
    <mergeCell ref="O71:U71"/>
    <mergeCell ref="C50:Q50"/>
    <mergeCell ref="N27:O27"/>
    <mergeCell ref="N28:O28"/>
    <mergeCell ref="N29:O29"/>
    <mergeCell ref="C68:Q68"/>
    <mergeCell ref="C38:Q38"/>
    <mergeCell ref="C39:Q39"/>
    <mergeCell ref="L67:O67"/>
    <mergeCell ref="E67:K67"/>
    <mergeCell ref="C64:Q64"/>
    <mergeCell ref="P65:S65"/>
    <mergeCell ref="L65:O65"/>
    <mergeCell ref="R61:R62"/>
    <mergeCell ref="S61:S62"/>
    <mergeCell ref="O62:Q62"/>
    <mergeCell ref="M45:O45"/>
    <mergeCell ref="K63:L63"/>
    <mergeCell ref="C48:Q48"/>
    <mergeCell ref="N63:P63"/>
    <mergeCell ref="P60:S60"/>
    <mergeCell ref="E65:K65"/>
    <mergeCell ref="D62:F62"/>
    <mergeCell ref="F63:G63"/>
    <mergeCell ref="T57:U57"/>
    <mergeCell ref="R41:S41"/>
    <mergeCell ref="C43:Q43"/>
    <mergeCell ref="E41:J41"/>
    <mergeCell ref="C55:Q55"/>
    <mergeCell ref="C53:Q53"/>
    <mergeCell ref="B65:D65"/>
    <mergeCell ref="C47:Q47"/>
    <mergeCell ref="L58:O58"/>
    <mergeCell ref="L59:O59"/>
    <mergeCell ref="P59:S59"/>
    <mergeCell ref="P58:S58"/>
    <mergeCell ref="R40:S40"/>
    <mergeCell ref="B57:D57"/>
    <mergeCell ref="E40:J40"/>
    <mergeCell ref="E44:H44"/>
    <mergeCell ref="E45:H45"/>
    <mergeCell ref="L57:O57"/>
    <mergeCell ref="G62:J62"/>
    <mergeCell ref="K62:N62"/>
    <mergeCell ref="K61:L61"/>
    <mergeCell ref="O61:P61"/>
    <mergeCell ref="L42:O42"/>
    <mergeCell ref="M44:O44"/>
    <mergeCell ref="L60:O60"/>
    <mergeCell ref="E58:K58"/>
    <mergeCell ref="E59:K59"/>
    <mergeCell ref="B62:C62"/>
    <mergeCell ref="D61:E61"/>
    <mergeCell ref="B61:C61"/>
    <mergeCell ref="I61:J61"/>
    <mergeCell ref="G61:H61"/>
    <mergeCell ref="E57:K57"/>
    <mergeCell ref="E60:K60"/>
    <mergeCell ref="B58:D58"/>
    <mergeCell ref="B60:D60"/>
    <mergeCell ref="B59:D59"/>
  </mergeCells>
  <printOptions horizontalCentered="1" verticalCentered="1"/>
  <pageMargins left="0.19" right="0.18" top="0.31" bottom="0.5" header="0.17" footer="0.5"/>
  <pageSetup fitToHeight="1" fitToWidth="1" horizontalDpi="600" verticalDpi="600" orientation="portrait" paperSize="9" scale="58" r:id="rId1"/>
</worksheet>
</file>

<file path=xl/worksheets/sheet4.xml><?xml version="1.0" encoding="utf-8"?>
<worksheet xmlns="http://schemas.openxmlformats.org/spreadsheetml/2006/main" xmlns:r="http://schemas.openxmlformats.org/officeDocument/2006/relationships">
  <dimension ref="A1:P126"/>
  <sheetViews>
    <sheetView tabSelected="1" view="pageBreakPreview" zoomScaleSheetLayoutView="100" workbookViewId="0" topLeftCell="A49">
      <selection activeCell="C60" sqref="C60"/>
    </sheetView>
  </sheetViews>
  <sheetFormatPr defaultColWidth="9.140625" defaultRowHeight="15" customHeight="1" zeroHeight="1"/>
  <cols>
    <col min="1" max="1" width="48.421875" style="273" customWidth="1"/>
    <col min="2" max="2" width="22.421875" style="273" customWidth="1"/>
    <col min="3" max="3" width="19.00390625" style="273" customWidth="1"/>
    <col min="4" max="4" width="1.421875" style="273" hidden="1" customWidth="1"/>
    <col min="5" max="6" width="15.8515625" style="273" hidden="1" customWidth="1"/>
    <col min="7" max="7" width="17.57421875" style="273" hidden="1" customWidth="1"/>
    <col min="8" max="9" width="7.7109375" style="273" hidden="1" customWidth="1"/>
    <col min="10" max="10" width="8.421875" style="273" hidden="1" customWidth="1"/>
    <col min="11" max="11" width="10.140625" style="273" hidden="1" customWidth="1"/>
    <col min="12" max="19" width="9.140625" style="273" hidden="1" customWidth="1"/>
    <col min="20" max="16384" width="9.140625" style="273" customWidth="1"/>
  </cols>
  <sheetData>
    <row r="1" spans="1:11" ht="15">
      <c r="A1" s="464" t="s">
        <v>301</v>
      </c>
      <c r="B1" s="464"/>
      <c r="C1" s="464"/>
      <c r="D1" s="272"/>
      <c r="E1" s="272"/>
      <c r="F1" s="272"/>
      <c r="G1" s="272"/>
      <c r="J1" s="274"/>
      <c r="K1" s="275"/>
    </row>
    <row r="2" spans="1:6" ht="15">
      <c r="A2" s="465" t="s">
        <v>294</v>
      </c>
      <c r="B2" s="466" t="s">
        <v>211</v>
      </c>
      <c r="C2" s="467" t="s">
        <v>325</v>
      </c>
      <c r="D2" s="276"/>
      <c r="E2" s="276"/>
      <c r="F2" s="276"/>
    </row>
    <row r="3" spans="1:11" ht="23.25" customHeight="1">
      <c r="A3" s="465"/>
      <c r="B3" s="466"/>
      <c r="C3" s="467"/>
      <c r="D3" s="276"/>
      <c r="E3" s="277"/>
      <c r="F3" s="277"/>
      <c r="G3" s="468">
        <f ca="1">TODAY()</f>
        <v>41492</v>
      </c>
      <c r="H3" s="469"/>
      <c r="I3" s="469"/>
      <c r="J3" s="470" t="s">
        <v>216</v>
      </c>
      <c r="K3" s="470"/>
    </row>
    <row r="4" spans="1:11" ht="15" customHeight="1">
      <c r="A4" s="324" t="s">
        <v>303</v>
      </c>
      <c r="B4" s="328">
        <v>28275</v>
      </c>
      <c r="C4" s="278">
        <f ca="1">DATEDIF(B4,TODAY(),"y")</f>
        <v>36</v>
      </c>
      <c r="D4" s="279"/>
      <c r="E4" s="280"/>
      <c r="F4" s="280"/>
      <c r="G4" s="468"/>
      <c r="H4" s="469"/>
      <c r="I4" s="469"/>
      <c r="J4" s="470"/>
      <c r="K4" s="470"/>
    </row>
    <row r="5" spans="1:11" ht="15" customHeight="1">
      <c r="A5" s="325" t="s">
        <v>304</v>
      </c>
      <c r="B5" s="327" t="s">
        <v>314</v>
      </c>
      <c r="C5" s="329" t="s">
        <v>243</v>
      </c>
      <c r="D5" s="279"/>
      <c r="E5" s="280"/>
      <c r="F5" s="280"/>
      <c r="G5" s="468"/>
      <c r="H5" s="469"/>
      <c r="I5" s="469"/>
      <c r="J5" s="470"/>
      <c r="K5" s="470"/>
    </row>
    <row r="6" spans="1:11" ht="15" customHeight="1">
      <c r="A6" s="281"/>
      <c r="B6" s="282" t="s">
        <v>9</v>
      </c>
      <c r="C6" s="282" t="s">
        <v>9</v>
      </c>
      <c r="D6" s="272"/>
      <c r="E6" s="283"/>
      <c r="F6" s="283"/>
      <c r="G6" s="468"/>
      <c r="H6" s="469"/>
      <c r="I6" s="469"/>
      <c r="J6" s="470"/>
      <c r="K6" s="470"/>
    </row>
    <row r="7" spans="1:11" ht="15" customHeight="1">
      <c r="A7" s="284" t="s">
        <v>161</v>
      </c>
      <c r="B7" s="285"/>
      <c r="C7" s="285"/>
      <c r="D7" s="286"/>
      <c r="E7" s="287"/>
      <c r="F7" s="287"/>
      <c r="G7" s="468"/>
      <c r="H7" s="469"/>
      <c r="I7" s="469"/>
      <c r="J7" s="470"/>
      <c r="K7" s="470"/>
    </row>
    <row r="8" spans="1:11" ht="15" customHeight="1">
      <c r="A8" s="281"/>
      <c r="B8" s="285"/>
      <c r="C8" s="285"/>
      <c r="D8" s="286"/>
      <c r="E8" s="287"/>
      <c r="F8" s="287"/>
      <c r="G8" s="468"/>
      <c r="H8" s="469"/>
      <c r="I8" s="469"/>
      <c r="J8" s="470"/>
      <c r="K8" s="470"/>
    </row>
    <row r="9" spans="1:11" ht="15" customHeight="1">
      <c r="A9" s="288" t="s">
        <v>242</v>
      </c>
      <c r="B9" s="330">
        <v>463046</v>
      </c>
      <c r="C9" s="285"/>
      <c r="D9" s="286"/>
      <c r="E9" s="287"/>
      <c r="F9" s="287"/>
      <c r="G9" s="468"/>
      <c r="H9" s="469"/>
      <c r="I9" s="469"/>
      <c r="J9" s="470"/>
      <c r="K9" s="470"/>
    </row>
    <row r="10" spans="1:11" ht="15" customHeight="1">
      <c r="A10" s="288" t="s">
        <v>305</v>
      </c>
      <c r="B10" s="330">
        <v>260064</v>
      </c>
      <c r="C10" s="285"/>
      <c r="D10" s="286"/>
      <c r="E10" s="287"/>
      <c r="F10" s="287"/>
      <c r="G10" s="468"/>
      <c r="H10" s="469"/>
      <c r="I10" s="469"/>
      <c r="J10" s="470"/>
      <c r="K10" s="470"/>
    </row>
    <row r="11" spans="1:11" ht="15" customHeight="1">
      <c r="A11" s="288" t="s">
        <v>291</v>
      </c>
      <c r="B11" s="330">
        <v>0</v>
      </c>
      <c r="C11" s="285"/>
      <c r="D11" s="286"/>
      <c r="E11" s="286"/>
      <c r="F11" s="286"/>
      <c r="G11" s="289"/>
      <c r="H11" s="289"/>
      <c r="I11" s="289"/>
      <c r="J11" s="290"/>
      <c r="K11" s="290"/>
    </row>
    <row r="12" spans="1:9" ht="15">
      <c r="A12" s="291" t="s">
        <v>259</v>
      </c>
      <c r="B12" s="330">
        <v>0</v>
      </c>
      <c r="C12" s="285"/>
      <c r="D12" s="286"/>
      <c r="E12" s="286"/>
      <c r="F12" s="286"/>
      <c r="H12" s="292"/>
      <c r="I12" s="293"/>
    </row>
    <row r="13" spans="1:6" ht="15">
      <c r="A13" s="281"/>
      <c r="B13" s="285"/>
      <c r="C13" s="337">
        <f>SUM(B9:B12)</f>
        <v>723110</v>
      </c>
      <c r="D13" s="286"/>
      <c r="E13" s="286"/>
      <c r="F13" s="286"/>
    </row>
    <row r="14" spans="1:6" ht="15">
      <c r="A14" s="284" t="s">
        <v>162</v>
      </c>
      <c r="B14" s="285"/>
      <c r="C14" s="285"/>
      <c r="D14" s="286"/>
      <c r="E14" s="286"/>
      <c r="F14" s="286"/>
    </row>
    <row r="15" spans="1:6" ht="15">
      <c r="A15" s="281"/>
      <c r="B15" s="285"/>
      <c r="C15" s="285"/>
      <c r="D15" s="286"/>
      <c r="E15" s="286"/>
      <c r="F15" s="286"/>
    </row>
    <row r="16" spans="1:6" ht="15">
      <c r="A16" s="281" t="s">
        <v>218</v>
      </c>
      <c r="B16" s="330">
        <v>0</v>
      </c>
      <c r="C16" s="285"/>
      <c r="D16" s="286"/>
      <c r="E16" s="286"/>
      <c r="F16" s="286"/>
    </row>
    <row r="17" spans="1:6" ht="15">
      <c r="A17" s="294" t="s">
        <v>204</v>
      </c>
      <c r="B17" s="337">
        <f>SUM(B16:B16)</f>
        <v>0</v>
      </c>
      <c r="C17" s="285"/>
      <c r="D17" s="286"/>
      <c r="E17" s="286"/>
      <c r="F17" s="286"/>
    </row>
    <row r="18" spans="1:6" ht="15">
      <c r="A18" s="281" t="s">
        <v>205</v>
      </c>
      <c r="B18" s="330">
        <v>0</v>
      </c>
      <c r="C18" s="285"/>
      <c r="D18" s="286"/>
      <c r="E18" s="286"/>
      <c r="F18" s="286"/>
    </row>
    <row r="19" spans="1:6" ht="15">
      <c r="A19" s="294" t="s">
        <v>206</v>
      </c>
      <c r="B19" s="337">
        <f>+B17-B18</f>
        <v>0</v>
      </c>
      <c r="C19" s="285"/>
      <c r="D19" s="286"/>
      <c r="E19" s="286"/>
      <c r="F19" s="286"/>
    </row>
    <row r="20" spans="1:6" ht="15">
      <c r="A20" s="284" t="s">
        <v>219</v>
      </c>
      <c r="B20" s="285"/>
      <c r="C20" s="285"/>
      <c r="D20" s="286"/>
      <c r="E20" s="286"/>
      <c r="F20" s="286"/>
    </row>
    <row r="21" spans="1:6" ht="15">
      <c r="A21" s="281" t="s">
        <v>207</v>
      </c>
      <c r="B21" s="285">
        <f>+ROUND(B19*0.3,0)</f>
        <v>0</v>
      </c>
      <c r="C21" s="285"/>
      <c r="D21" s="286"/>
      <c r="E21" s="286"/>
      <c r="F21" s="286"/>
    </row>
    <row r="22" spans="1:6" ht="15">
      <c r="A22" s="281" t="s">
        <v>220</v>
      </c>
      <c r="B22" s="330">
        <v>0</v>
      </c>
      <c r="C22" s="285"/>
      <c r="D22" s="286"/>
      <c r="E22" s="286"/>
      <c r="F22" s="286"/>
    </row>
    <row r="23" spans="1:6" ht="15">
      <c r="A23" s="281"/>
      <c r="B23" s="338">
        <f>B19-SUM(B21:B22)</f>
        <v>0</v>
      </c>
      <c r="C23" s="285"/>
      <c r="D23" s="286"/>
      <c r="E23" s="286"/>
      <c r="F23" s="286"/>
    </row>
    <row r="24" spans="1:6" ht="15">
      <c r="A24" s="294" t="s">
        <v>163</v>
      </c>
      <c r="B24" s="331">
        <v>0</v>
      </c>
      <c r="C24" s="337">
        <f>B24+B23</f>
        <v>0</v>
      </c>
      <c r="D24" s="286"/>
      <c r="E24" s="286"/>
      <c r="F24" s="286"/>
    </row>
    <row r="25" spans="1:6" ht="15">
      <c r="A25" s="281"/>
      <c r="B25" s="285"/>
      <c r="C25" s="285"/>
      <c r="D25" s="286"/>
      <c r="E25" s="286"/>
      <c r="F25" s="286"/>
    </row>
    <row r="26" spans="1:6" ht="15">
      <c r="A26" s="284" t="s">
        <v>177</v>
      </c>
      <c r="B26" s="285"/>
      <c r="C26" s="285"/>
      <c r="D26" s="286"/>
      <c r="E26" s="286"/>
      <c r="F26" s="286"/>
    </row>
    <row r="27" spans="1:6" ht="15">
      <c r="A27" s="281" t="s">
        <v>185</v>
      </c>
      <c r="B27" s="330">
        <v>0</v>
      </c>
      <c r="C27" s="285"/>
      <c r="D27" s="286"/>
      <c r="E27" s="286"/>
      <c r="F27" s="286"/>
    </row>
    <row r="28" spans="1:6" ht="15">
      <c r="A28" s="281" t="s">
        <v>221</v>
      </c>
      <c r="B28" s="330">
        <v>0</v>
      </c>
      <c r="C28" s="337">
        <f>SUM(B27:B28)</f>
        <v>0</v>
      </c>
      <c r="D28" s="286"/>
      <c r="E28" s="286"/>
      <c r="F28" s="286"/>
    </row>
    <row r="29" spans="1:6" ht="15">
      <c r="A29" s="281"/>
      <c r="B29" s="285"/>
      <c r="C29" s="285"/>
      <c r="D29" s="286"/>
      <c r="E29" s="286"/>
      <c r="F29" s="286"/>
    </row>
    <row r="30" spans="1:6" ht="15">
      <c r="A30" s="284" t="s">
        <v>230</v>
      </c>
      <c r="B30" s="285"/>
      <c r="C30" s="285"/>
      <c r="D30" s="286"/>
      <c r="E30" s="286"/>
      <c r="F30" s="286"/>
    </row>
    <row r="31" spans="1:6" ht="15">
      <c r="A31" s="281" t="s">
        <v>232</v>
      </c>
      <c r="B31" s="332">
        <v>0</v>
      </c>
      <c r="C31" s="348"/>
      <c r="D31" s="286"/>
      <c r="E31" s="286"/>
      <c r="F31" s="286"/>
    </row>
    <row r="32" spans="1:6" ht="15">
      <c r="A32" s="281" t="s">
        <v>231</v>
      </c>
      <c r="B32" s="332">
        <v>0</v>
      </c>
      <c r="C32" s="337">
        <f>B31-B32</f>
        <v>0</v>
      </c>
      <c r="D32" s="286"/>
      <c r="E32" s="286"/>
      <c r="F32" s="286"/>
    </row>
    <row r="33" spans="1:6" ht="15">
      <c r="A33" s="281"/>
      <c r="B33" s="285"/>
      <c r="C33" s="285"/>
      <c r="D33" s="286"/>
      <c r="E33" s="286"/>
      <c r="F33" s="286"/>
    </row>
    <row r="34" spans="1:6" ht="15">
      <c r="A34" s="284" t="s">
        <v>182</v>
      </c>
      <c r="B34" s="285"/>
      <c r="C34" s="285"/>
      <c r="D34" s="286"/>
      <c r="E34" s="286"/>
      <c r="F34" s="286"/>
    </row>
    <row r="35" spans="1:6" ht="15">
      <c r="A35" s="281" t="s">
        <v>307</v>
      </c>
      <c r="B35" s="330">
        <v>0</v>
      </c>
      <c r="C35" s="285"/>
      <c r="D35" s="286"/>
      <c r="E35" s="286"/>
      <c r="F35" s="286"/>
    </row>
    <row r="36" spans="1:6" ht="15">
      <c r="A36" s="281" t="s">
        <v>308</v>
      </c>
      <c r="B36" s="330">
        <v>0</v>
      </c>
      <c r="C36" s="337">
        <f>SUM(B35:B36)</f>
        <v>0</v>
      </c>
      <c r="D36" s="286"/>
      <c r="E36" s="286"/>
      <c r="F36" s="286"/>
    </row>
    <row r="37" spans="1:6" ht="15">
      <c r="A37" s="296" t="s">
        <v>236</v>
      </c>
      <c r="B37" s="281"/>
      <c r="C37" s="338">
        <f>SUM(C7:C36)</f>
        <v>723110</v>
      </c>
      <c r="D37" s="297"/>
      <c r="E37" s="297"/>
      <c r="F37" s="297"/>
    </row>
    <row r="38" spans="1:6" ht="15">
      <c r="A38" s="281"/>
      <c r="B38" s="281"/>
      <c r="C38" s="295"/>
      <c r="D38" s="297"/>
      <c r="E38" s="297"/>
      <c r="F38" s="297"/>
    </row>
    <row r="39" spans="1:6" ht="15">
      <c r="A39" s="284" t="s">
        <v>233</v>
      </c>
      <c r="B39" s="281"/>
      <c r="C39" s="295"/>
      <c r="D39" s="297"/>
      <c r="E39" s="297"/>
      <c r="F39" s="297"/>
    </row>
    <row r="40" spans="1:6" ht="15">
      <c r="A40" s="281" t="s">
        <v>224</v>
      </c>
      <c r="B40" s="333">
        <v>0</v>
      </c>
      <c r="C40" s="295"/>
      <c r="D40" s="297"/>
      <c r="E40" s="297"/>
      <c r="F40" s="297"/>
    </row>
    <row r="41" spans="1:6" ht="15">
      <c r="A41" s="281" t="s">
        <v>225</v>
      </c>
      <c r="B41" s="332">
        <v>0</v>
      </c>
      <c r="C41" s="295"/>
      <c r="D41" s="297"/>
      <c r="E41" s="297"/>
      <c r="F41" s="297"/>
    </row>
    <row r="42" spans="1:6" ht="15">
      <c r="A42" s="281" t="s">
        <v>238</v>
      </c>
      <c r="B42" s="342">
        <f>+B40-B41</f>
        <v>0</v>
      </c>
      <c r="C42" s="295"/>
      <c r="D42" s="297"/>
      <c r="E42" s="297"/>
      <c r="F42" s="297"/>
    </row>
    <row r="43" spans="1:6" ht="15">
      <c r="A43" s="281"/>
      <c r="B43" s="294"/>
      <c r="C43" s="295"/>
      <c r="D43" s="297"/>
      <c r="E43" s="297"/>
      <c r="F43" s="297"/>
    </row>
    <row r="44" spans="1:6" ht="15">
      <c r="A44" s="284" t="s">
        <v>226</v>
      </c>
      <c r="B44" s="281"/>
      <c r="C44" s="295"/>
      <c r="D44" s="297"/>
      <c r="E44" s="297"/>
      <c r="F44" s="297"/>
    </row>
    <row r="45" spans="1:6" ht="15">
      <c r="A45" s="281" t="s">
        <v>227</v>
      </c>
      <c r="B45" s="332">
        <v>0</v>
      </c>
      <c r="C45" s="295"/>
      <c r="D45" s="297"/>
      <c r="E45" s="297"/>
      <c r="F45" s="297"/>
    </row>
    <row r="46" spans="1:6" ht="15">
      <c r="A46" s="281" t="s">
        <v>228</v>
      </c>
      <c r="B46" s="334">
        <v>0</v>
      </c>
      <c r="C46" s="295"/>
      <c r="D46" s="297"/>
      <c r="E46" s="297"/>
      <c r="F46" s="297"/>
    </row>
    <row r="47" spans="1:6" ht="15">
      <c r="A47" s="281" t="s">
        <v>229</v>
      </c>
      <c r="B47" s="339">
        <f>+B45-B46</f>
        <v>0</v>
      </c>
      <c r="C47" s="295"/>
      <c r="D47" s="297"/>
      <c r="E47" s="297"/>
      <c r="F47" s="297"/>
    </row>
    <row r="48" spans="1:6" ht="15">
      <c r="A48" s="294"/>
      <c r="B48" s="285"/>
      <c r="C48" s="295"/>
      <c r="D48" s="297"/>
      <c r="E48" s="297"/>
      <c r="F48" s="297"/>
    </row>
    <row r="49" spans="1:6" ht="15">
      <c r="A49" s="284" t="s">
        <v>164</v>
      </c>
      <c r="B49" s="285"/>
      <c r="C49" s="285"/>
      <c r="D49" s="286"/>
      <c r="E49" s="286"/>
      <c r="F49" s="286"/>
    </row>
    <row r="50" spans="1:6" ht="15">
      <c r="A50" s="281" t="s">
        <v>260</v>
      </c>
      <c r="B50" s="330">
        <f>3681+28752+63653</f>
        <v>96086</v>
      </c>
      <c r="C50" s="285"/>
      <c r="D50" s="286"/>
      <c r="E50" s="286"/>
      <c r="F50" s="286"/>
    </row>
    <row r="51" spans="1:6" ht="15">
      <c r="A51" s="281" t="s">
        <v>261</v>
      </c>
      <c r="B51" s="330">
        <v>5470</v>
      </c>
      <c r="C51" s="285"/>
      <c r="D51" s="286"/>
      <c r="E51" s="286"/>
      <c r="F51" s="286"/>
    </row>
    <row r="52" spans="1:6" ht="15">
      <c r="A52" s="281" t="s">
        <v>262</v>
      </c>
      <c r="B52" s="330">
        <v>0</v>
      </c>
      <c r="C52" s="285"/>
      <c r="D52" s="286"/>
      <c r="E52" s="286"/>
      <c r="F52" s="286"/>
    </row>
    <row r="53" spans="1:10" ht="15">
      <c r="A53" s="281" t="s">
        <v>262</v>
      </c>
      <c r="B53" s="330">
        <v>0</v>
      </c>
      <c r="C53" s="285"/>
      <c r="D53" s="286"/>
      <c r="E53" s="286"/>
      <c r="F53" s="286"/>
      <c r="J53" s="298"/>
    </row>
    <row r="54" spans="1:6" ht="15">
      <c r="A54" s="281"/>
      <c r="B54" s="338">
        <f>MIN(SUM(B50:B53),100000)</f>
        <v>100000</v>
      </c>
      <c r="C54" s="285"/>
      <c r="D54" s="286"/>
      <c r="E54" s="286"/>
      <c r="F54" s="286"/>
    </row>
    <row r="55" spans="1:6" ht="15">
      <c r="A55" s="281" t="s">
        <v>183</v>
      </c>
      <c r="B55" s="330">
        <v>20000</v>
      </c>
      <c r="C55" s="285">
        <v>0</v>
      </c>
      <c r="D55" s="286"/>
      <c r="E55" s="286"/>
      <c r="F55" s="286"/>
    </row>
    <row r="56" spans="1:6" ht="15">
      <c r="A56" s="281" t="s">
        <v>285</v>
      </c>
      <c r="B56" s="330">
        <v>0</v>
      </c>
      <c r="C56" s="285"/>
      <c r="D56" s="286"/>
      <c r="E56" s="286"/>
      <c r="F56" s="286"/>
    </row>
    <row r="57" spans="1:6" ht="15">
      <c r="A57" s="281" t="s">
        <v>295</v>
      </c>
      <c r="B57" s="330">
        <v>0</v>
      </c>
      <c r="C57" s="337">
        <f>+SUM(B54:B57)</f>
        <v>120000</v>
      </c>
      <c r="D57" s="286"/>
      <c r="E57" s="286"/>
      <c r="F57" s="286"/>
    </row>
    <row r="58" spans="1:6" ht="15">
      <c r="A58" s="296" t="s">
        <v>234</v>
      </c>
      <c r="B58" s="285"/>
      <c r="C58" s="338">
        <f>+C37-C57</f>
        <v>603110</v>
      </c>
      <c r="D58" s="297"/>
      <c r="E58" s="297"/>
      <c r="F58" s="297"/>
    </row>
    <row r="59" spans="1:6" ht="15">
      <c r="A59" s="296"/>
      <c r="B59" s="285"/>
      <c r="C59" s="338"/>
      <c r="D59" s="297"/>
      <c r="E59" s="297"/>
      <c r="F59" s="297"/>
    </row>
    <row r="60" spans="1:6" ht="15">
      <c r="A60" s="296" t="s">
        <v>235</v>
      </c>
      <c r="B60" s="299"/>
      <c r="C60" s="339">
        <f>C58+B47+B42</f>
        <v>603110</v>
      </c>
      <c r="D60" s="300"/>
      <c r="E60" s="300"/>
      <c r="F60" s="300"/>
    </row>
    <row r="61" spans="1:10" ht="6.75" customHeight="1">
      <c r="A61" s="464" t="s">
        <v>247</v>
      </c>
      <c r="B61" s="464"/>
      <c r="C61" s="464"/>
      <c r="D61" s="272"/>
      <c r="E61" s="272"/>
      <c r="F61" s="272"/>
      <c r="H61" s="473" t="s">
        <v>214</v>
      </c>
      <c r="I61" s="473"/>
      <c r="J61" s="473"/>
    </row>
    <row r="62" spans="1:11" ht="15">
      <c r="A62" s="281" t="s">
        <v>237</v>
      </c>
      <c r="B62" s="299"/>
      <c r="C62" s="340">
        <f>ROUND(IF(C5="M",IF(C58&lt;200000,0,IF(C58&lt;500000,((C58-200000)*0.1),IF(C58&lt;1000000,(((C58-500000)*0.2)+30000),(((C58-1000000)*0.3)+130000)))),IF(C5="S",IF(C58&lt;250000,0,IF(C58&lt;500000,((C58-250000)*0.1),IF(C58&lt;1000000,(((C58-500000)*0.2)+25000),(((C58-1000000)*0.3)+125000)))),"Please enter sex in data sheet")),0)</f>
        <v>50622</v>
      </c>
      <c r="D62" s="302"/>
      <c r="E62" s="302"/>
      <c r="F62" s="302"/>
      <c r="G62" s="303"/>
      <c r="H62" s="304">
        <v>42248</v>
      </c>
      <c r="I62" s="304">
        <v>42339</v>
      </c>
      <c r="J62" s="304">
        <v>42064</v>
      </c>
      <c r="K62" s="305" t="s">
        <v>45</v>
      </c>
    </row>
    <row r="63" spans="1:16" ht="15">
      <c r="A63" s="281" t="s">
        <v>239</v>
      </c>
      <c r="B63" s="299"/>
      <c r="C63" s="340">
        <f>ROUND(B42*0.15,0)</f>
        <v>0</v>
      </c>
      <c r="D63" s="302"/>
      <c r="E63" s="302"/>
      <c r="F63" s="302"/>
      <c r="G63" s="303"/>
      <c r="H63" s="304"/>
      <c r="I63" s="304"/>
      <c r="J63" s="304"/>
      <c r="K63" s="305"/>
      <c r="P63" s="306"/>
    </row>
    <row r="64" spans="1:11" ht="15">
      <c r="A64" s="281" t="s">
        <v>244</v>
      </c>
      <c r="B64" s="281"/>
      <c r="C64" s="340">
        <f>ROUND(B47*0.2,0)</f>
        <v>0</v>
      </c>
      <c r="D64" s="302"/>
      <c r="E64" s="302"/>
      <c r="F64" s="302"/>
      <c r="G64" s="303"/>
      <c r="H64" s="304"/>
      <c r="I64" s="304"/>
      <c r="J64" s="304"/>
      <c r="K64" s="305"/>
    </row>
    <row r="65" spans="1:11" ht="15">
      <c r="A65" s="281"/>
      <c r="B65" s="301"/>
      <c r="C65" s="340">
        <f>SUM(C62:C64)</f>
        <v>50622</v>
      </c>
      <c r="D65" s="302"/>
      <c r="E65" s="302"/>
      <c r="F65" s="302"/>
      <c r="G65" s="303"/>
      <c r="H65" s="304"/>
      <c r="I65" s="304"/>
      <c r="J65" s="304"/>
      <c r="K65" s="305"/>
    </row>
    <row r="66" spans="1:11" ht="15">
      <c r="A66" s="281" t="s">
        <v>178</v>
      </c>
      <c r="B66" s="301"/>
      <c r="C66" s="340">
        <v>0</v>
      </c>
      <c r="D66" s="302"/>
      <c r="E66" s="302"/>
      <c r="F66" s="302"/>
      <c r="H66" s="307"/>
      <c r="I66" s="307"/>
      <c r="J66" s="307"/>
      <c r="K66" s="305"/>
    </row>
    <row r="67" spans="1:11" ht="15">
      <c r="A67" s="281"/>
      <c r="B67" s="301"/>
      <c r="C67" s="340">
        <f>+C66+C65</f>
        <v>50622</v>
      </c>
      <c r="D67" s="302"/>
      <c r="E67" s="302"/>
      <c r="F67" s="302"/>
      <c r="H67" s="307"/>
      <c r="I67" s="307"/>
      <c r="J67" s="307"/>
      <c r="K67" s="305"/>
    </row>
    <row r="68" spans="1:11" ht="15">
      <c r="A68" s="281" t="s">
        <v>167</v>
      </c>
      <c r="B68" s="301"/>
      <c r="C68" s="340">
        <f>ROUND(C67*0.03,0)</f>
        <v>1519</v>
      </c>
      <c r="D68" s="302"/>
      <c r="E68" s="302"/>
      <c r="F68" s="302"/>
      <c r="G68" s="308" t="s">
        <v>173</v>
      </c>
      <c r="H68" s="273">
        <v>5000</v>
      </c>
      <c r="I68" s="273">
        <f>H68+4000</f>
        <v>9000</v>
      </c>
      <c r="J68" s="273">
        <f>I68+3000</f>
        <v>12000</v>
      </c>
      <c r="K68" s="273">
        <f>+C72-J68</f>
        <v>27421</v>
      </c>
    </row>
    <row r="69" spans="1:10" ht="15">
      <c r="A69" s="281"/>
      <c r="B69" s="309"/>
      <c r="C69" s="341">
        <f>+C68+C67</f>
        <v>52141</v>
      </c>
      <c r="D69" s="311"/>
      <c r="E69" s="311"/>
      <c r="F69" s="311"/>
      <c r="G69" s="308" t="s">
        <v>174</v>
      </c>
      <c r="H69" s="312">
        <v>0.3</v>
      </c>
      <c r="I69" s="312">
        <v>0.6</v>
      </c>
      <c r="J69" s="312">
        <v>1</v>
      </c>
    </row>
    <row r="70" spans="1:10" ht="15">
      <c r="A70" s="281" t="s">
        <v>199</v>
      </c>
      <c r="B70" s="301"/>
      <c r="C70" s="340">
        <v>0</v>
      </c>
      <c r="D70" s="302"/>
      <c r="E70" s="302"/>
      <c r="F70" s="302"/>
      <c r="G70" s="308" t="s">
        <v>27</v>
      </c>
      <c r="H70" s="302">
        <f>+C69*H69</f>
        <v>15642.3</v>
      </c>
      <c r="I70" s="302">
        <f>+C69*I69</f>
        <v>31284.6</v>
      </c>
      <c r="J70" s="302">
        <f>+C69*J69</f>
        <v>52141</v>
      </c>
    </row>
    <row r="71" spans="1:10" ht="15">
      <c r="A71" s="281"/>
      <c r="B71" s="301"/>
      <c r="C71" s="341">
        <f>+C69-C70</f>
        <v>52141</v>
      </c>
      <c r="D71" s="311"/>
      <c r="E71" s="311"/>
      <c r="F71" s="311"/>
      <c r="G71" s="308" t="s">
        <v>176</v>
      </c>
      <c r="H71" s="302">
        <f>+IF(H68&gt;H70,0,H70-H68)</f>
        <v>10642.3</v>
      </c>
      <c r="I71" s="302">
        <f>+IF(I68&gt;I70,0,I70-I68)</f>
        <v>22284.6</v>
      </c>
      <c r="J71" s="302">
        <f>+IF(J68&gt;J70,0,J70-J68)</f>
        <v>40141</v>
      </c>
    </row>
    <row r="72" spans="1:7" ht="15">
      <c r="A72" s="294" t="s">
        <v>166</v>
      </c>
      <c r="B72" s="309"/>
      <c r="C72" s="336">
        <f>15137+24284</f>
        <v>39421</v>
      </c>
      <c r="D72" s="302"/>
      <c r="E72" s="302"/>
      <c r="F72" s="302"/>
      <c r="G72" s="308"/>
    </row>
    <row r="73" spans="1:11" ht="15">
      <c r="A73" s="281" t="s">
        <v>302</v>
      </c>
      <c r="B73" s="313">
        <f>0-B72</f>
        <v>0</v>
      </c>
      <c r="C73" s="341">
        <f>+C71-C72</f>
        <v>12720</v>
      </c>
      <c r="D73" s="311"/>
      <c r="E73" s="311"/>
      <c r="F73" s="311"/>
      <c r="G73" s="308" t="s">
        <v>175</v>
      </c>
      <c r="H73" s="273">
        <f>+(H71*0.01)*3</f>
        <v>319.269</v>
      </c>
      <c r="I73" s="286">
        <f>+(I71*0.01)*3</f>
        <v>668.538</v>
      </c>
      <c r="J73" s="286">
        <f>+(J71*0.01)*1</f>
        <v>401.41</v>
      </c>
      <c r="K73" s="286">
        <f>+J73+I73+H73</f>
        <v>1389.217</v>
      </c>
    </row>
    <row r="74" spans="1:6" ht="15">
      <c r="A74" s="281" t="s">
        <v>190</v>
      </c>
      <c r="B74" s="301"/>
      <c r="C74" s="340">
        <f>+ROUND(IF(C73&gt;0,C73*1%,0),0)</f>
        <v>127</v>
      </c>
      <c r="D74" s="302"/>
      <c r="E74" s="302"/>
      <c r="F74" s="302"/>
    </row>
    <row r="75" spans="1:10" ht="15">
      <c r="A75" s="281" t="s">
        <v>168</v>
      </c>
      <c r="B75" s="301"/>
      <c r="C75" s="340">
        <f>ROUND(IF(J75&lt;0.9,IF(J75&gt;0,IF(C73&gt;10000,(C73*0.01)*5,0))),0)</f>
        <v>636</v>
      </c>
      <c r="D75" s="302"/>
      <c r="E75" s="314"/>
      <c r="F75" s="314"/>
      <c r="G75" s="474" t="s">
        <v>215</v>
      </c>
      <c r="H75" s="475"/>
      <c r="I75" s="475"/>
      <c r="J75" s="315">
        <f>+IF(C69&gt;0,C72/C69,0)</f>
        <v>0.7560461057517117</v>
      </c>
    </row>
    <row r="76" spans="1:7" ht="15">
      <c r="A76" s="281" t="s">
        <v>169</v>
      </c>
      <c r="B76" s="301"/>
      <c r="C76" s="340">
        <f>+ROUND(IF(C73&gt;10000,IF(C73&gt;0,C73*3.7%,0)),0)</f>
        <v>471</v>
      </c>
      <c r="D76" s="302"/>
      <c r="E76" s="302"/>
      <c r="F76" s="302"/>
      <c r="G76" s="316"/>
    </row>
    <row r="77" spans="1:6" ht="15">
      <c r="A77" s="281" t="s">
        <v>170</v>
      </c>
      <c r="B77" s="301"/>
      <c r="C77" s="341">
        <f>ROUND(SUM(C73:C76),-1)</f>
        <v>13950</v>
      </c>
      <c r="D77" s="311"/>
      <c r="E77" s="311"/>
      <c r="F77" s="311"/>
    </row>
    <row r="78" spans="1:6" ht="15">
      <c r="A78" s="281" t="s">
        <v>171</v>
      </c>
      <c r="B78" s="301"/>
      <c r="C78" s="335">
        <v>0</v>
      </c>
      <c r="D78" s="311"/>
      <c r="E78" s="311"/>
      <c r="F78" s="311"/>
    </row>
    <row r="79" spans="1:7" ht="15">
      <c r="A79" s="294" t="s">
        <v>172</v>
      </c>
      <c r="B79" s="301"/>
      <c r="C79" s="310">
        <f>+C77-C78</f>
        <v>13950</v>
      </c>
      <c r="D79" s="311"/>
      <c r="E79" s="311"/>
      <c r="F79" s="311"/>
      <c r="G79" s="317"/>
    </row>
    <row r="80" spans="1:3" ht="15">
      <c r="A80" s="294"/>
      <c r="B80" s="281"/>
      <c r="C80" s="281"/>
    </row>
    <row r="81" spans="1:3" ht="15" customHeight="1" hidden="1">
      <c r="A81" s="281"/>
      <c r="B81" s="281"/>
      <c r="C81" s="281"/>
    </row>
    <row r="82" spans="1:3" ht="15" hidden="1">
      <c r="A82" s="284" t="s">
        <v>200</v>
      </c>
      <c r="B82" s="281"/>
      <c r="C82" s="281"/>
    </row>
    <row r="83" spans="1:6" ht="15" hidden="1">
      <c r="A83" s="281" t="s">
        <v>192</v>
      </c>
      <c r="B83" s="281"/>
      <c r="C83" s="318">
        <v>0</v>
      </c>
      <c r="D83" s="319"/>
      <c r="E83" s="319"/>
      <c r="F83" s="319"/>
    </row>
    <row r="84" spans="1:6" ht="15" hidden="1">
      <c r="A84" s="281" t="s">
        <v>194</v>
      </c>
      <c r="B84" s="281"/>
      <c r="C84" s="318">
        <v>0</v>
      </c>
      <c r="D84" s="319"/>
      <c r="E84" s="319"/>
      <c r="F84" s="319"/>
    </row>
    <row r="85" spans="1:3" ht="15" hidden="1">
      <c r="A85" s="281" t="s">
        <v>196</v>
      </c>
      <c r="B85" s="281"/>
      <c r="C85" s="281"/>
    </row>
    <row r="86" spans="1:6" ht="15" hidden="1">
      <c r="A86" s="281" t="s">
        <v>197</v>
      </c>
      <c r="B86" s="281"/>
      <c r="C86" s="294">
        <v>0</v>
      </c>
      <c r="D86" s="308"/>
      <c r="E86" s="308"/>
      <c r="F86" s="308"/>
    </row>
    <row r="87" spans="1:3" ht="15" hidden="1">
      <c r="A87" s="281"/>
      <c r="B87" s="281"/>
      <c r="C87" s="281"/>
    </row>
    <row r="88" spans="1:3" ht="15" hidden="1">
      <c r="A88" s="281"/>
      <c r="B88" s="281"/>
      <c r="C88" s="281"/>
    </row>
    <row r="89" spans="1:3" ht="15" hidden="1">
      <c r="A89" s="281"/>
      <c r="B89" s="281"/>
      <c r="C89" s="281"/>
    </row>
    <row r="90" spans="1:3" ht="15" hidden="1">
      <c r="A90" s="281"/>
      <c r="B90" s="281"/>
      <c r="C90" s="281"/>
    </row>
    <row r="91" spans="1:3" ht="15" hidden="1">
      <c r="A91" s="281"/>
      <c r="B91" s="281"/>
      <c r="C91" s="281"/>
    </row>
    <row r="92" spans="1:3" ht="15" hidden="1">
      <c r="A92" s="281"/>
      <c r="B92" s="281"/>
      <c r="C92" s="281"/>
    </row>
    <row r="93" spans="1:3" ht="15" hidden="1">
      <c r="A93" s="281"/>
      <c r="B93" s="281"/>
      <c r="C93" s="281"/>
    </row>
    <row r="94" spans="1:3" ht="15" hidden="1">
      <c r="A94" s="281"/>
      <c r="B94" s="281"/>
      <c r="C94" s="281"/>
    </row>
    <row r="95" spans="1:3" ht="15" hidden="1">
      <c r="A95" s="281"/>
      <c r="B95" s="281"/>
      <c r="C95" s="281"/>
    </row>
    <row r="96" spans="1:3" ht="15" hidden="1">
      <c r="A96" s="281"/>
      <c r="B96" s="281"/>
      <c r="C96" s="281"/>
    </row>
    <row r="97" spans="1:4" ht="15" hidden="1">
      <c r="A97" s="320"/>
      <c r="B97" s="320"/>
      <c r="C97" s="320"/>
      <c r="D97" s="321"/>
    </row>
    <row r="98" spans="1:7" ht="15" hidden="1">
      <c r="A98" s="320"/>
      <c r="B98" s="320"/>
      <c r="C98" s="320"/>
      <c r="D98" s="321"/>
      <c r="G98" s="286"/>
    </row>
    <row r="99" spans="1:4" ht="15">
      <c r="A99" s="282" t="s">
        <v>300</v>
      </c>
      <c r="B99" s="322" t="s">
        <v>250</v>
      </c>
      <c r="C99" s="322">
        <v>0</v>
      </c>
      <c r="D99" s="321"/>
    </row>
    <row r="100" spans="1:5" ht="15">
      <c r="A100" s="343" t="s">
        <v>298</v>
      </c>
      <c r="B100" s="344" t="s">
        <v>309</v>
      </c>
      <c r="C100" s="320" t="s">
        <v>293</v>
      </c>
      <c r="D100" s="321" t="s">
        <v>296</v>
      </c>
      <c r="E100" s="273" t="s">
        <v>297</v>
      </c>
    </row>
    <row r="101" spans="1:4" ht="15">
      <c r="A101" s="344" t="s">
        <v>299</v>
      </c>
      <c r="B101" s="344" t="s">
        <v>310</v>
      </c>
      <c r="C101" s="320">
        <v>0</v>
      </c>
      <c r="D101" s="321"/>
    </row>
    <row r="102" spans="1:4" ht="15">
      <c r="A102" s="344" t="s">
        <v>312</v>
      </c>
      <c r="B102" s="344" t="s">
        <v>311</v>
      </c>
      <c r="C102" s="320"/>
      <c r="D102" s="321"/>
    </row>
    <row r="103" spans="1:4" ht="15">
      <c r="A103" s="345"/>
      <c r="B103" s="326" t="s">
        <v>253</v>
      </c>
      <c r="C103" s="322"/>
      <c r="D103" s="321"/>
    </row>
    <row r="104" spans="1:4" ht="15">
      <c r="A104" s="346" t="s">
        <v>266</v>
      </c>
      <c r="B104" s="322" t="s">
        <v>256</v>
      </c>
      <c r="C104" s="322" t="str">
        <f>C100</f>
        <v> </v>
      </c>
      <c r="D104" s="321"/>
    </row>
    <row r="105" spans="1:4" ht="15">
      <c r="A105" s="347">
        <f>C73/103%</f>
        <v>12349.514563106795</v>
      </c>
      <c r="B105" s="322" t="s">
        <v>255</v>
      </c>
      <c r="C105" s="322">
        <f>C99*40%</f>
        <v>0</v>
      </c>
      <c r="D105" s="321"/>
    </row>
    <row r="106" spans="1:4" ht="15">
      <c r="A106" s="346" t="s">
        <v>267</v>
      </c>
      <c r="B106" s="322" t="s">
        <v>256</v>
      </c>
      <c r="C106" s="322">
        <f>C101-(C99*0.1)</f>
        <v>0</v>
      </c>
      <c r="D106" s="321"/>
    </row>
    <row r="107" spans="1:4" ht="15">
      <c r="A107" s="347">
        <f>A105*3%</f>
        <v>370.4854368932038</v>
      </c>
      <c r="B107" s="476">
        <f>MIN(C106,C105,C104)</f>
        <v>0</v>
      </c>
      <c r="C107" s="476"/>
      <c r="D107" s="321"/>
    </row>
    <row r="108" spans="1:4" ht="15">
      <c r="A108" s="346" t="s">
        <v>175</v>
      </c>
      <c r="B108" s="476"/>
      <c r="C108" s="476"/>
      <c r="D108" s="321"/>
    </row>
    <row r="109" spans="1:4" ht="15">
      <c r="A109" s="347">
        <f>C76+C75+C74</f>
        <v>1234</v>
      </c>
      <c r="B109" s="320"/>
      <c r="C109" s="320"/>
      <c r="D109" s="321"/>
    </row>
    <row r="110" spans="2:4" ht="15">
      <c r="B110" s="321"/>
      <c r="C110" s="321"/>
      <c r="D110" s="321"/>
    </row>
    <row r="111" spans="1:4" ht="15">
      <c r="A111" s="321"/>
      <c r="B111" s="321" t="s">
        <v>293</v>
      </c>
      <c r="C111" s="321"/>
      <c r="D111" s="321"/>
    </row>
    <row r="112" spans="1:4" s="354" customFormat="1" ht="15">
      <c r="A112" s="488" t="s">
        <v>306</v>
      </c>
      <c r="B112" s="489"/>
      <c r="C112" s="489"/>
      <c r="D112" s="489"/>
    </row>
    <row r="113" spans="1:3" ht="17.25" customHeight="1">
      <c r="A113" s="471" t="s">
        <v>313</v>
      </c>
      <c r="B113" s="471"/>
      <c r="C113" s="471"/>
    </row>
    <row r="114" spans="1:3" ht="15" customHeight="1">
      <c r="A114" s="472" t="s">
        <v>315</v>
      </c>
      <c r="B114" s="472"/>
      <c r="C114" s="472"/>
    </row>
    <row r="115" ht="15" customHeight="1">
      <c r="A115" s="308" t="s">
        <v>326</v>
      </c>
    </row>
    <row r="116" ht="15" customHeight="1" hidden="1"/>
    <row r="117" ht="15" customHeight="1" hidden="1"/>
    <row r="118" ht="15" customHeight="1" hidden="1"/>
    <row r="119" ht="15" customHeight="1" hidden="1"/>
    <row r="120" spans="2:3" ht="15" customHeight="1" hidden="1">
      <c r="B120" s="323">
        <v>33706</v>
      </c>
      <c r="C120" s="273">
        <f ca="1">DATEDIF(B120,TODAY(),"y")</f>
        <v>21</v>
      </c>
    </row>
    <row r="121" spans="2:3" ht="15" customHeight="1" hidden="1">
      <c r="B121" s="323">
        <v>33706</v>
      </c>
      <c r="C121" s="273">
        <f ca="1">DATEDIF(B121,TODAY(),"ym")</f>
        <v>3</v>
      </c>
    </row>
    <row r="122" ht="15" customHeight="1" hidden="1"/>
    <row r="123" spans="2:3" ht="15" hidden="1">
      <c r="B123" s="273">
        <v>6000</v>
      </c>
      <c r="C123" s="273">
        <f>B123*7</f>
        <v>42000</v>
      </c>
    </row>
    <row r="124" ht="15" hidden="1">
      <c r="C124" s="273">
        <f>79467*10%</f>
        <v>7946.700000000001</v>
      </c>
    </row>
    <row r="125" spans="2:3" ht="15" hidden="1">
      <c r="B125" s="273" t="s">
        <v>248</v>
      </c>
      <c r="C125" s="273">
        <f>C123-C124</f>
        <v>34053.3</v>
      </c>
    </row>
    <row r="126" spans="2:3" ht="15" hidden="1">
      <c r="B126" s="273" t="s">
        <v>249</v>
      </c>
      <c r="C126" s="273">
        <f>C124*10*40%</f>
        <v>31786.800000000003</v>
      </c>
    </row>
  </sheetData>
  <sheetProtection/>
  <mergeCells count="12">
    <mergeCell ref="A113:C113"/>
    <mergeCell ref="A114:C114"/>
    <mergeCell ref="A61:C61"/>
    <mergeCell ref="H61:J61"/>
    <mergeCell ref="G75:I75"/>
    <mergeCell ref="B107:C108"/>
    <mergeCell ref="A1:C1"/>
    <mergeCell ref="A2:A3"/>
    <mergeCell ref="B2:B3"/>
    <mergeCell ref="C2:C3"/>
    <mergeCell ref="G3:I10"/>
    <mergeCell ref="J3:K10"/>
  </mergeCells>
  <dataValidations count="1">
    <dataValidation type="list" allowBlank="1" showInputMessage="1" showErrorMessage="1" sqref="C5">
      <formula1>"M,S"</formula1>
    </dataValidation>
  </dataValidations>
  <hyperlinks>
    <hyperlink ref="A100" r:id="rId1" display="www.incometaxindiaefiling.govt.in  "/>
  </hyperlinks>
  <printOptions/>
  <pageMargins left="0.29" right="0.36" top="0.42" bottom="0.41" header="0.23" footer="0.26"/>
  <pageSetup horizontalDpi="600" verticalDpi="600" orientation="portrait" paperSize="9" r:id="rId4"/>
  <legacyDrawing r:id="rId3"/>
</worksheet>
</file>

<file path=xl/worksheets/sheet5.xml><?xml version="1.0" encoding="utf-8"?>
<worksheet xmlns="http://schemas.openxmlformats.org/spreadsheetml/2006/main" xmlns:r="http://schemas.openxmlformats.org/officeDocument/2006/relationships">
  <dimension ref="A2:V27"/>
  <sheetViews>
    <sheetView zoomScalePageLayoutView="0" workbookViewId="0" topLeftCell="A1">
      <selection activeCell="G7" sqref="G7"/>
    </sheetView>
  </sheetViews>
  <sheetFormatPr defaultColWidth="9.140625" defaultRowHeight="12.75"/>
  <cols>
    <col min="1" max="1" width="2.421875" style="239" bestFit="1" customWidth="1"/>
    <col min="2" max="2" width="15.00390625" style="239" bestFit="1" customWidth="1"/>
    <col min="3" max="3" width="11.421875" style="239" customWidth="1"/>
    <col min="4" max="4" width="9.140625" style="239" customWidth="1"/>
    <col min="5" max="5" width="7.00390625" style="239" bestFit="1" customWidth="1"/>
    <col min="6" max="6" width="9.140625" style="239" customWidth="1"/>
    <col min="7" max="7" width="9.421875" style="239" bestFit="1" customWidth="1"/>
    <col min="8" max="8" width="9.7109375" style="239" bestFit="1" customWidth="1"/>
    <col min="9" max="9" width="8.00390625" style="239" bestFit="1" customWidth="1"/>
    <col min="10" max="10" width="9.140625" style="239" customWidth="1"/>
    <col min="11" max="11" width="9.7109375" style="239" bestFit="1" customWidth="1"/>
    <col min="12" max="12" width="9.140625" style="239" customWidth="1"/>
    <col min="13" max="13" width="9.421875" style="239" bestFit="1" customWidth="1"/>
    <col min="14" max="14" width="7.28125" style="239" bestFit="1" customWidth="1"/>
    <col min="15" max="15" width="9.421875" style="239" bestFit="1" customWidth="1"/>
    <col min="16" max="16" width="30.00390625" style="239" bestFit="1" customWidth="1"/>
    <col min="17" max="17" width="8.421875" style="239" bestFit="1" customWidth="1"/>
    <col min="18" max="18" width="9.421875" style="239" bestFit="1" customWidth="1"/>
    <col min="19" max="19" width="9.140625" style="239" customWidth="1"/>
    <col min="20" max="20" width="9.421875" style="239" bestFit="1" customWidth="1"/>
    <col min="21" max="21" width="9.140625" style="239" customWidth="1"/>
    <col min="22" max="22" width="9.421875" style="239" bestFit="1" customWidth="1"/>
    <col min="23" max="16384" width="9.140625" style="239" customWidth="1"/>
  </cols>
  <sheetData>
    <row r="1" ht="12.75"/>
    <row r="2" spans="4:15" ht="12.75">
      <c r="D2" s="477" t="s">
        <v>280</v>
      </c>
      <c r="E2" s="478"/>
      <c r="F2" s="479"/>
      <c r="G2" s="477" t="s">
        <v>283</v>
      </c>
      <c r="H2" s="478"/>
      <c r="I2" s="479"/>
      <c r="J2" s="480" t="s">
        <v>282</v>
      </c>
      <c r="K2" s="480"/>
      <c r="L2" s="480"/>
      <c r="M2" s="481" t="s">
        <v>284</v>
      </c>
      <c r="N2" s="482"/>
      <c r="O2" s="483"/>
    </row>
    <row r="3" spans="1:22" ht="12.75">
      <c r="A3" s="239" t="s">
        <v>278</v>
      </c>
      <c r="B3" s="252" t="s">
        <v>277</v>
      </c>
      <c r="C3" s="252" t="s">
        <v>287</v>
      </c>
      <c r="D3" s="251" t="s">
        <v>279</v>
      </c>
      <c r="E3" s="252" t="s">
        <v>274</v>
      </c>
      <c r="F3" s="253" t="s">
        <v>281</v>
      </c>
      <c r="G3" s="251" t="s">
        <v>279</v>
      </c>
      <c r="H3" s="252" t="s">
        <v>274</v>
      </c>
      <c r="I3" s="253" t="s">
        <v>281</v>
      </c>
      <c r="J3" s="252" t="s">
        <v>279</v>
      </c>
      <c r="K3" s="252" t="s">
        <v>274</v>
      </c>
      <c r="L3" s="252" t="s">
        <v>281</v>
      </c>
      <c r="M3" s="263" t="s">
        <v>279</v>
      </c>
      <c r="N3" s="264" t="s">
        <v>274</v>
      </c>
      <c r="O3" s="265" t="s">
        <v>281</v>
      </c>
      <c r="U3" s="240"/>
      <c r="V3" s="240"/>
    </row>
    <row r="4" spans="1:22" ht="12.75">
      <c r="A4" s="239">
        <v>1</v>
      </c>
      <c r="B4" s="262" t="s">
        <v>270</v>
      </c>
      <c r="D4" s="254">
        <f>80000*6</f>
        <v>480000</v>
      </c>
      <c r="E4" s="256">
        <f>8000*6</f>
        <v>48000</v>
      </c>
      <c r="F4" s="244">
        <f>(D4-E4)</f>
        <v>432000</v>
      </c>
      <c r="G4" s="255">
        <f>90514.58+80000+83004.16</f>
        <v>253518.74000000002</v>
      </c>
      <c r="H4" s="257">
        <f>18514.58+8000+11004.16</f>
        <v>37518.740000000005</v>
      </c>
      <c r="I4" s="244">
        <f aca="true" t="shared" si="0" ref="I4:I10">G4-H4</f>
        <v>216000</v>
      </c>
      <c r="J4" s="255">
        <f>81502.08*3</f>
        <v>244506.24</v>
      </c>
      <c r="K4" s="270">
        <f>9502.08*3+11561.02-1478</f>
        <v>38589.259999999995</v>
      </c>
      <c r="L4" s="239">
        <f aca="true" t="shared" si="1" ref="L4:L9">J4-K4</f>
        <v>205916.97999999998</v>
      </c>
      <c r="M4" s="266">
        <f aca="true" t="shared" si="2" ref="M4:O9">D4+G4+J4</f>
        <v>978024.98</v>
      </c>
      <c r="N4" s="256">
        <f t="shared" si="2"/>
        <v>124108</v>
      </c>
      <c r="O4" s="244">
        <f>F4+I4+L4</f>
        <v>853916.98</v>
      </c>
      <c r="T4" s="240"/>
      <c r="U4" s="240"/>
      <c r="V4" s="240"/>
    </row>
    <row r="5" spans="1:22" ht="12.75">
      <c r="A5" s="239">
        <v>2</v>
      </c>
      <c r="B5" s="262" t="s">
        <v>272</v>
      </c>
      <c r="D5" s="254">
        <f>83000+27780+111120+(138900)</f>
        <v>360800</v>
      </c>
      <c r="E5" s="258">
        <f>8300+2778+11112+(13890)</f>
        <v>36080</v>
      </c>
      <c r="F5" s="243">
        <f aca="true" t="shared" si="3" ref="F5:F10">D5-E5</f>
        <v>324720</v>
      </c>
      <c r="G5" s="254">
        <f>(103935)*3</f>
        <v>311805</v>
      </c>
      <c r="H5" s="259">
        <f>8901+6782+6782</f>
        <v>22465</v>
      </c>
      <c r="I5" s="243">
        <f t="shared" si="0"/>
        <v>289340</v>
      </c>
      <c r="J5" s="261">
        <f>(103935)*3</f>
        <v>311805</v>
      </c>
      <c r="K5" s="260">
        <f>6782*3</f>
        <v>20346</v>
      </c>
      <c r="L5" s="239">
        <f t="shared" si="1"/>
        <v>291459</v>
      </c>
      <c r="M5" s="254">
        <f t="shared" si="2"/>
        <v>984410</v>
      </c>
      <c r="N5" s="259">
        <f>E5+H5+K5</f>
        <v>78891</v>
      </c>
      <c r="O5" s="243">
        <f t="shared" si="2"/>
        <v>905519</v>
      </c>
      <c r="U5" s="240"/>
      <c r="V5" s="240"/>
    </row>
    <row r="6" spans="1:22" ht="12.75">
      <c r="A6" s="239">
        <v>3</v>
      </c>
      <c r="B6" s="262" t="s">
        <v>273</v>
      </c>
      <c r="D6" s="254">
        <v>0</v>
      </c>
      <c r="E6" s="258">
        <v>0</v>
      </c>
      <c r="F6" s="243">
        <f t="shared" si="3"/>
        <v>0</v>
      </c>
      <c r="G6" s="254">
        <f>30065*3</f>
        <v>90195</v>
      </c>
      <c r="H6" s="258" t="e">
        <f>#REF!*3</f>
        <v>#REF!</v>
      </c>
      <c r="I6" s="243" t="e">
        <f t="shared" si="0"/>
        <v>#REF!</v>
      </c>
      <c r="J6" s="261">
        <f>30065*3</f>
        <v>90195</v>
      </c>
      <c r="K6" s="262" t="e">
        <f>#REF!*3</f>
        <v>#REF!</v>
      </c>
      <c r="L6" s="239" t="e">
        <f t="shared" si="1"/>
        <v>#REF!</v>
      </c>
      <c r="M6" s="254">
        <f t="shared" si="2"/>
        <v>180390</v>
      </c>
      <c r="N6" s="258" t="e">
        <f t="shared" si="2"/>
        <v>#REF!</v>
      </c>
      <c r="O6" s="243" t="e">
        <f t="shared" si="2"/>
        <v>#REF!</v>
      </c>
      <c r="T6" s="240"/>
      <c r="U6" s="240"/>
      <c r="V6" s="240"/>
    </row>
    <row r="7" spans="1:16" ht="12.75">
      <c r="A7" s="239">
        <v>4</v>
      </c>
      <c r="B7" s="262" t="s">
        <v>286</v>
      </c>
      <c r="D7" s="254">
        <f>70000*3+39670</f>
        <v>249670</v>
      </c>
      <c r="E7" s="258">
        <f>7000*3+3967</f>
        <v>24967</v>
      </c>
      <c r="F7" s="243">
        <f t="shared" si="3"/>
        <v>224703</v>
      </c>
      <c r="G7" s="254">
        <v>0</v>
      </c>
      <c r="H7" s="258">
        <v>0</v>
      </c>
      <c r="I7" s="243">
        <f t="shared" si="0"/>
        <v>0</v>
      </c>
      <c r="J7" s="261">
        <v>0</v>
      </c>
      <c r="K7" s="262">
        <v>0</v>
      </c>
      <c r="L7" s="239">
        <f t="shared" si="1"/>
        <v>0</v>
      </c>
      <c r="M7" s="254">
        <f t="shared" si="2"/>
        <v>249670</v>
      </c>
      <c r="N7" s="258">
        <f t="shared" si="2"/>
        <v>24967</v>
      </c>
      <c r="O7" s="243">
        <f t="shared" si="2"/>
        <v>224703</v>
      </c>
      <c r="P7" s="239" t="s">
        <v>289</v>
      </c>
    </row>
    <row r="8" spans="1:22" ht="12.75">
      <c r="A8" s="239">
        <v>5</v>
      </c>
      <c r="B8" s="262" t="s">
        <v>275</v>
      </c>
      <c r="D8" s="254">
        <v>350000</v>
      </c>
      <c r="E8" s="258">
        <v>35000</v>
      </c>
      <c r="F8" s="243">
        <f t="shared" si="3"/>
        <v>315000</v>
      </c>
      <c r="G8" s="254">
        <v>100000</v>
      </c>
      <c r="H8" s="258">
        <v>6700</v>
      </c>
      <c r="I8" s="243">
        <f t="shared" si="0"/>
        <v>93300</v>
      </c>
      <c r="J8" s="261">
        <f>300000+50000</f>
        <v>350000</v>
      </c>
      <c r="K8" s="269">
        <f>6700*3-1978+10300</f>
        <v>28422</v>
      </c>
      <c r="L8" s="239">
        <f t="shared" si="1"/>
        <v>321578</v>
      </c>
      <c r="M8" s="254">
        <f t="shared" si="2"/>
        <v>800000</v>
      </c>
      <c r="N8" s="258">
        <f t="shared" si="2"/>
        <v>70122</v>
      </c>
      <c r="O8" s="243">
        <f t="shared" si="2"/>
        <v>729878</v>
      </c>
      <c r="T8" s="240"/>
      <c r="V8" s="240"/>
    </row>
    <row r="9" spans="1:15" ht="12.75">
      <c r="A9" s="239">
        <v>6</v>
      </c>
      <c r="B9" s="262" t="s">
        <v>276</v>
      </c>
      <c r="D9" s="254">
        <v>375000</v>
      </c>
      <c r="E9" s="258">
        <v>37500</v>
      </c>
      <c r="F9" s="243">
        <f t="shared" si="3"/>
        <v>337500</v>
      </c>
      <c r="G9" s="254">
        <v>100000</v>
      </c>
      <c r="H9" s="258">
        <v>7362.5</v>
      </c>
      <c r="I9" s="243">
        <f t="shared" si="0"/>
        <v>92637.5</v>
      </c>
      <c r="J9" s="261">
        <f>300000+25000</f>
        <v>325000</v>
      </c>
      <c r="K9" s="268">
        <f>7362.5*3-1978+5150</f>
        <v>25259.5</v>
      </c>
      <c r="L9" s="267">
        <f t="shared" si="1"/>
        <v>299740.5</v>
      </c>
      <c r="M9" s="254">
        <f t="shared" si="2"/>
        <v>800000</v>
      </c>
      <c r="N9" s="258">
        <f t="shared" si="2"/>
        <v>70122</v>
      </c>
      <c r="O9" s="243">
        <f t="shared" si="2"/>
        <v>729878</v>
      </c>
    </row>
    <row r="10" spans="1:15" ht="12.75">
      <c r="A10" s="239">
        <v>7</v>
      </c>
      <c r="B10" s="262" t="s">
        <v>288</v>
      </c>
      <c r="D10" s="254">
        <v>0</v>
      </c>
      <c r="E10" s="258">
        <v>0</v>
      </c>
      <c r="F10" s="243">
        <f t="shared" si="3"/>
        <v>0</v>
      </c>
      <c r="G10" s="254">
        <v>0</v>
      </c>
      <c r="H10" s="258">
        <v>0</v>
      </c>
      <c r="I10" s="243">
        <f t="shared" si="0"/>
        <v>0</v>
      </c>
      <c r="J10" s="261">
        <f>22000+60000</f>
        <v>82000</v>
      </c>
      <c r="K10" s="268">
        <f>2200+0</f>
        <v>2200</v>
      </c>
      <c r="L10" s="267">
        <f>J10-K10</f>
        <v>79800</v>
      </c>
      <c r="M10" s="254">
        <f>D10+G10+J10</f>
        <v>82000</v>
      </c>
      <c r="N10" s="258">
        <f>E10+H10+K10</f>
        <v>2200</v>
      </c>
      <c r="O10" s="243">
        <f>F10+I10+L10</f>
        <v>79800</v>
      </c>
    </row>
    <row r="11" spans="5:8" ht="12.75">
      <c r="E11" s="240"/>
      <c r="H11" s="242"/>
    </row>
    <row r="12" ht="12.75"/>
    <row r="13" ht="12.75"/>
    <row r="14" ht="12.75"/>
    <row r="27" ht="12.75">
      <c r="H27" s="250"/>
    </row>
  </sheetData>
  <sheetProtection/>
  <mergeCells count="4">
    <mergeCell ref="D2:F2"/>
    <mergeCell ref="G2:I2"/>
    <mergeCell ref="J2:L2"/>
    <mergeCell ref="M2:O2"/>
  </mergeCell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P127"/>
  <sheetViews>
    <sheetView view="pageBreakPreview" zoomScaleSheetLayoutView="100" zoomScalePageLayoutView="0" workbookViewId="0" topLeftCell="A58">
      <selection activeCell="C75" sqref="C75"/>
    </sheetView>
  </sheetViews>
  <sheetFormatPr defaultColWidth="0" defaultRowHeight="15" customHeight="1"/>
  <cols>
    <col min="1" max="1" width="51.28125" style="158" bestFit="1" customWidth="1"/>
    <col min="2" max="2" width="19.28125" style="158" customWidth="1"/>
    <col min="3" max="3" width="19.00390625" style="158" customWidth="1"/>
    <col min="4" max="4" width="0.85546875" style="158" customWidth="1"/>
    <col min="5" max="6" width="15.8515625" style="158" hidden="1" customWidth="1"/>
    <col min="7" max="7" width="17.57421875" style="158" hidden="1" customWidth="1"/>
    <col min="8" max="9" width="7.7109375" style="158" hidden="1" customWidth="1"/>
    <col min="10" max="10" width="8.421875" style="158" hidden="1" customWidth="1"/>
    <col min="11" max="11" width="10.140625" style="158" hidden="1" customWidth="1"/>
    <col min="12" max="14" width="9.140625" style="158" hidden="1" customWidth="1"/>
    <col min="15" max="16384" width="0" style="158" hidden="1" customWidth="1"/>
  </cols>
  <sheetData>
    <row r="1" spans="1:11" ht="15">
      <c r="A1" s="362" t="s">
        <v>181</v>
      </c>
      <c r="B1" s="363"/>
      <c r="C1" s="364"/>
      <c r="D1" s="157"/>
      <c r="E1" s="157"/>
      <c r="F1" s="157"/>
      <c r="G1" s="157"/>
      <c r="J1" s="193"/>
      <c r="K1" s="192"/>
    </row>
    <row r="2" spans="1:6" ht="15">
      <c r="A2" s="361" t="s">
        <v>269</v>
      </c>
      <c r="B2" s="366" t="s">
        <v>211</v>
      </c>
      <c r="C2" s="486"/>
      <c r="D2" s="210"/>
      <c r="E2" s="210"/>
      <c r="F2" s="210"/>
    </row>
    <row r="3" spans="1:11" ht="23.25" customHeight="1">
      <c r="A3" s="361"/>
      <c r="B3" s="366"/>
      <c r="C3" s="487"/>
      <c r="D3" s="211"/>
      <c r="E3" s="211"/>
      <c r="F3" s="211"/>
      <c r="G3" s="358">
        <f ca="1">TODAY()</f>
        <v>41492</v>
      </c>
      <c r="H3" s="359"/>
      <c r="I3" s="359"/>
      <c r="J3" s="357" t="s">
        <v>216</v>
      </c>
      <c r="K3" s="357"/>
    </row>
    <row r="4" spans="1:11" ht="15" customHeight="1">
      <c r="A4" s="241" t="s">
        <v>292</v>
      </c>
      <c r="B4" s="271">
        <v>17635</v>
      </c>
      <c r="C4" s="195">
        <f ca="1">DATEDIF(B4,TODAY(),"y")</f>
        <v>65</v>
      </c>
      <c r="D4" s="212"/>
      <c r="E4" s="212"/>
      <c r="F4" s="212"/>
      <c r="G4" s="358"/>
      <c r="H4" s="359"/>
      <c r="I4" s="359"/>
      <c r="J4" s="357"/>
      <c r="K4" s="357"/>
    </row>
    <row r="5" spans="1:11" ht="15" customHeight="1">
      <c r="A5" s="194" t="s">
        <v>257</v>
      </c>
      <c r="B5" s="194" t="s">
        <v>210</v>
      </c>
      <c r="C5" s="195" t="s">
        <v>243</v>
      </c>
      <c r="D5" s="212"/>
      <c r="E5" s="212"/>
      <c r="F5" s="212"/>
      <c r="G5" s="358"/>
      <c r="H5" s="359"/>
      <c r="I5" s="359"/>
      <c r="J5" s="357"/>
      <c r="K5" s="357"/>
    </row>
    <row r="6" spans="1:11" ht="15" customHeight="1">
      <c r="A6" s="159"/>
      <c r="B6" s="160" t="s">
        <v>9</v>
      </c>
      <c r="C6" s="160" t="s">
        <v>9</v>
      </c>
      <c r="D6" s="213"/>
      <c r="E6" s="213"/>
      <c r="F6" s="213"/>
      <c r="G6" s="358"/>
      <c r="H6" s="359"/>
      <c r="I6" s="359"/>
      <c r="J6" s="357"/>
      <c r="K6" s="357"/>
    </row>
    <row r="7" spans="1:11" ht="15" customHeight="1">
      <c r="A7" s="161" t="s">
        <v>161</v>
      </c>
      <c r="B7" s="173"/>
      <c r="C7" s="173"/>
      <c r="D7" s="176"/>
      <c r="E7" s="176"/>
      <c r="F7" s="176"/>
      <c r="G7" s="358"/>
      <c r="H7" s="359"/>
      <c r="I7" s="359"/>
      <c r="J7" s="357"/>
      <c r="K7" s="357"/>
    </row>
    <row r="8" spans="1:11" ht="15" customHeight="1">
      <c r="A8" s="159"/>
      <c r="B8" s="173"/>
      <c r="C8" s="173"/>
      <c r="D8" s="176"/>
      <c r="E8" s="176"/>
      <c r="F8" s="176"/>
      <c r="G8" s="358"/>
      <c r="H8" s="359"/>
      <c r="I8" s="359"/>
      <c r="J8" s="357"/>
      <c r="K8" s="357"/>
    </row>
    <row r="9" spans="1:11" ht="15" customHeight="1">
      <c r="A9" s="162" t="s">
        <v>258</v>
      </c>
      <c r="B9" s="173"/>
      <c r="C9" s="173"/>
      <c r="D9" s="176"/>
      <c r="E9" s="176"/>
      <c r="F9" s="176"/>
      <c r="G9" s="358"/>
      <c r="H9" s="359"/>
      <c r="I9" s="359"/>
      <c r="J9" s="357"/>
      <c r="K9" s="357"/>
    </row>
    <row r="10" spans="1:11" ht="15" customHeight="1">
      <c r="A10" s="162" t="s">
        <v>258</v>
      </c>
      <c r="B10" s="173">
        <v>340000</v>
      </c>
      <c r="C10" s="173"/>
      <c r="D10" s="176"/>
      <c r="E10" s="176"/>
      <c r="F10" s="176"/>
      <c r="G10" s="358"/>
      <c r="H10" s="359"/>
      <c r="I10" s="359"/>
      <c r="J10" s="357"/>
      <c r="K10" s="357"/>
    </row>
    <row r="11" spans="1:11" ht="15" customHeight="1">
      <c r="A11" s="162" t="s">
        <v>291</v>
      </c>
      <c r="B11" s="173">
        <v>0</v>
      </c>
      <c r="C11" s="173"/>
      <c r="D11" s="183"/>
      <c r="E11" s="183"/>
      <c r="F11" s="183"/>
      <c r="G11" s="221"/>
      <c r="H11" s="221"/>
      <c r="I11" s="221"/>
      <c r="J11" s="220"/>
      <c r="K11" s="220"/>
    </row>
    <row r="12" spans="1:9" ht="15">
      <c r="A12" s="222" t="s">
        <v>259</v>
      </c>
      <c r="B12" s="174">
        <f>-B108</f>
        <v>0</v>
      </c>
      <c r="C12" s="173"/>
      <c r="D12" s="183"/>
      <c r="E12" s="183"/>
      <c r="F12" s="183"/>
      <c r="H12" s="163"/>
      <c r="I12" s="164"/>
    </row>
    <row r="13" spans="1:6" ht="15">
      <c r="A13" s="159"/>
      <c r="B13" s="173"/>
      <c r="C13" s="173">
        <f>SUM(B9:B12)</f>
        <v>340000</v>
      </c>
      <c r="D13" s="183"/>
      <c r="E13" s="183"/>
      <c r="F13" s="183"/>
    </row>
    <row r="14" spans="1:6" ht="15">
      <c r="A14" s="161" t="s">
        <v>162</v>
      </c>
      <c r="B14" s="173"/>
      <c r="C14" s="173"/>
      <c r="D14" s="183"/>
      <c r="E14" s="183"/>
      <c r="F14" s="183"/>
    </row>
    <row r="15" spans="1:6" ht="15">
      <c r="A15" s="159"/>
      <c r="B15" s="173"/>
      <c r="C15" s="173"/>
      <c r="D15" s="183"/>
      <c r="E15" s="183"/>
      <c r="F15" s="183"/>
    </row>
    <row r="16" spans="1:6" ht="15">
      <c r="A16" s="159" t="s">
        <v>218</v>
      </c>
      <c r="B16" s="174">
        <v>0</v>
      </c>
      <c r="C16" s="173"/>
      <c r="D16" s="183"/>
      <c r="E16" s="183"/>
      <c r="F16" s="183"/>
    </row>
    <row r="17" spans="1:6" ht="15">
      <c r="A17" s="165" t="s">
        <v>204</v>
      </c>
      <c r="B17" s="173">
        <f>SUM(B16:B16)</f>
        <v>0</v>
      </c>
      <c r="C17" s="173"/>
      <c r="D17" s="183"/>
      <c r="E17" s="183"/>
      <c r="F17" s="183"/>
    </row>
    <row r="18" spans="1:6" ht="15">
      <c r="A18" s="159" t="s">
        <v>205</v>
      </c>
      <c r="B18" s="174">
        <v>0</v>
      </c>
      <c r="C18" s="173"/>
      <c r="D18" s="183"/>
      <c r="E18" s="183"/>
      <c r="F18" s="183"/>
    </row>
    <row r="19" spans="1:6" ht="15">
      <c r="A19" s="165" t="s">
        <v>206</v>
      </c>
      <c r="B19" s="173">
        <f>+B17-B18</f>
        <v>0</v>
      </c>
      <c r="C19" s="173"/>
      <c r="D19" s="183"/>
      <c r="E19" s="183"/>
      <c r="F19" s="183"/>
    </row>
    <row r="20" spans="1:6" ht="15">
      <c r="A20" s="161" t="s">
        <v>219</v>
      </c>
      <c r="B20" s="173"/>
      <c r="C20" s="173"/>
      <c r="D20" s="183"/>
      <c r="E20" s="183"/>
      <c r="F20" s="183"/>
    </row>
    <row r="21" spans="1:6" ht="15">
      <c r="A21" s="159" t="s">
        <v>207</v>
      </c>
      <c r="B21" s="173">
        <f>+ROUND(B19*0.3,0)</f>
        <v>0</v>
      </c>
      <c r="C21" s="173"/>
      <c r="D21" s="183"/>
      <c r="E21" s="183"/>
      <c r="F21" s="183"/>
    </row>
    <row r="22" spans="1:6" ht="15">
      <c r="A22" s="159" t="s">
        <v>220</v>
      </c>
      <c r="B22" s="174">
        <v>0</v>
      </c>
      <c r="C22" s="173"/>
      <c r="D22" s="183"/>
      <c r="E22" s="183"/>
      <c r="F22" s="183"/>
    </row>
    <row r="23" spans="1:6" ht="15">
      <c r="A23" s="159"/>
      <c r="B23" s="175">
        <f>B19-SUM(B21:B22)</f>
        <v>0</v>
      </c>
      <c r="C23" s="173"/>
      <c r="D23" s="183"/>
      <c r="E23" s="183"/>
      <c r="F23" s="183"/>
    </row>
    <row r="24" spans="1:6" ht="15">
      <c r="A24" s="165" t="s">
        <v>163</v>
      </c>
      <c r="B24" s="182">
        <v>0</v>
      </c>
      <c r="C24" s="174">
        <f>B24+B23</f>
        <v>0</v>
      </c>
      <c r="D24" s="183"/>
      <c r="E24" s="183"/>
      <c r="F24" s="183"/>
    </row>
    <row r="25" spans="1:6" ht="15">
      <c r="A25" s="159"/>
      <c r="B25" s="173"/>
      <c r="C25" s="173"/>
      <c r="D25" s="183"/>
      <c r="E25" s="183"/>
      <c r="F25" s="183"/>
    </row>
    <row r="26" spans="1:6" ht="15">
      <c r="A26" s="161" t="s">
        <v>177</v>
      </c>
      <c r="B26" s="173"/>
      <c r="C26" s="173"/>
      <c r="D26" s="183"/>
      <c r="E26" s="183"/>
      <c r="F26" s="183"/>
    </row>
    <row r="27" spans="1:6" ht="15">
      <c r="A27" s="159" t="s">
        <v>185</v>
      </c>
      <c r="B27" s="173">
        <v>0</v>
      </c>
      <c r="C27" s="173"/>
      <c r="D27" s="183"/>
      <c r="E27" s="183"/>
      <c r="F27" s="183"/>
    </row>
    <row r="28" spans="1:6" ht="15">
      <c r="A28" s="159" t="s">
        <v>221</v>
      </c>
      <c r="B28" s="174">
        <v>0</v>
      </c>
      <c r="C28" s="173">
        <f>SUM(B27:B28)</f>
        <v>0</v>
      </c>
      <c r="D28" s="183"/>
      <c r="E28" s="183"/>
      <c r="F28" s="183"/>
    </row>
    <row r="29" spans="1:6" ht="15">
      <c r="A29" s="159"/>
      <c r="B29" s="173"/>
      <c r="C29" s="173"/>
      <c r="D29" s="183"/>
      <c r="E29" s="183"/>
      <c r="F29" s="183"/>
    </row>
    <row r="30" spans="1:6" ht="15">
      <c r="A30" s="161" t="s">
        <v>230</v>
      </c>
      <c r="B30" s="173"/>
      <c r="C30" s="173"/>
      <c r="D30" s="183"/>
      <c r="E30" s="183"/>
      <c r="F30" s="183"/>
    </row>
    <row r="31" spans="1:6" ht="15">
      <c r="A31" s="200" t="s">
        <v>232</v>
      </c>
      <c r="B31" s="197">
        <v>0</v>
      </c>
      <c r="C31" s="173"/>
      <c r="D31" s="183"/>
      <c r="E31" s="183"/>
      <c r="F31" s="183"/>
    </row>
    <row r="32" spans="1:6" ht="15">
      <c r="A32" s="200" t="s">
        <v>231</v>
      </c>
      <c r="B32" s="205">
        <v>0</v>
      </c>
      <c r="C32" s="173">
        <f>B31-B32</f>
        <v>0</v>
      </c>
      <c r="D32" s="183"/>
      <c r="E32" s="183"/>
      <c r="F32" s="183"/>
    </row>
    <row r="33" spans="1:6" ht="15">
      <c r="A33" s="159"/>
      <c r="B33" s="173"/>
      <c r="C33" s="173"/>
      <c r="D33" s="183"/>
      <c r="E33" s="183"/>
      <c r="F33" s="183"/>
    </row>
    <row r="34" spans="1:6" ht="15">
      <c r="A34" s="161" t="s">
        <v>182</v>
      </c>
      <c r="B34" s="173"/>
      <c r="C34" s="173"/>
      <c r="D34" s="183"/>
      <c r="E34" s="183"/>
      <c r="F34" s="183"/>
    </row>
    <row r="35" spans="1:6" ht="15">
      <c r="A35" s="159" t="s">
        <v>222</v>
      </c>
      <c r="B35" s="173">
        <v>0</v>
      </c>
      <c r="C35" s="173"/>
      <c r="D35" s="183"/>
      <c r="E35" s="183"/>
      <c r="F35" s="183"/>
    </row>
    <row r="36" spans="1:6" ht="15">
      <c r="A36" s="159" t="s">
        <v>223</v>
      </c>
      <c r="B36" s="174">
        <v>0</v>
      </c>
      <c r="C36" s="174">
        <f>SUM(B35:B36)</f>
        <v>0</v>
      </c>
      <c r="D36" s="183"/>
      <c r="E36" s="183"/>
      <c r="F36" s="183"/>
    </row>
    <row r="37" spans="1:6" ht="15">
      <c r="A37" s="196" t="s">
        <v>236</v>
      </c>
      <c r="B37" s="197"/>
      <c r="C37" s="247">
        <f>SUM(C7:C36)</f>
        <v>340000</v>
      </c>
      <c r="D37" s="208"/>
      <c r="E37" s="208"/>
      <c r="F37" s="208"/>
    </row>
    <row r="38" spans="1:6" ht="15">
      <c r="A38" s="198"/>
      <c r="B38" s="197"/>
      <c r="C38" s="175"/>
      <c r="D38" s="208"/>
      <c r="E38" s="208"/>
      <c r="F38" s="208"/>
    </row>
    <row r="39" spans="1:6" ht="15">
      <c r="A39" s="199" t="s">
        <v>233</v>
      </c>
      <c r="B39" s="197"/>
      <c r="C39" s="175"/>
      <c r="D39" s="208"/>
      <c r="E39" s="208"/>
      <c r="F39" s="208"/>
    </row>
    <row r="40" spans="1:6" ht="15">
      <c r="A40" s="200" t="s">
        <v>224</v>
      </c>
      <c r="B40" s="206">
        <v>0</v>
      </c>
      <c r="C40" s="175"/>
      <c r="D40" s="208"/>
      <c r="E40" s="208"/>
      <c r="F40" s="208"/>
    </row>
    <row r="41" spans="1:6" ht="15.75" thickBot="1">
      <c r="A41" s="200" t="s">
        <v>225</v>
      </c>
      <c r="B41" s="197">
        <v>0</v>
      </c>
      <c r="C41" s="175"/>
      <c r="D41" s="208"/>
      <c r="E41" s="208"/>
      <c r="F41" s="208"/>
    </row>
    <row r="42" spans="1:6" ht="15.75" thickBot="1">
      <c r="A42" s="200" t="s">
        <v>238</v>
      </c>
      <c r="B42" s="201">
        <f>+B40-B41</f>
        <v>0</v>
      </c>
      <c r="C42" s="175"/>
      <c r="D42" s="208"/>
      <c r="E42" s="208"/>
      <c r="F42" s="208"/>
    </row>
    <row r="43" spans="1:6" ht="15">
      <c r="A43" s="200"/>
      <c r="B43" s="202"/>
      <c r="C43" s="175"/>
      <c r="D43" s="208"/>
      <c r="E43" s="208"/>
      <c r="F43" s="208"/>
    </row>
    <row r="44" spans="1:6" ht="15">
      <c r="A44" s="199" t="s">
        <v>226</v>
      </c>
      <c r="B44" s="197"/>
      <c r="C44" s="175"/>
      <c r="D44" s="208"/>
      <c r="E44" s="208"/>
      <c r="F44" s="208"/>
    </row>
    <row r="45" spans="1:6" ht="15">
      <c r="A45" s="200" t="s">
        <v>227</v>
      </c>
      <c r="B45" s="197">
        <v>0</v>
      </c>
      <c r="C45" s="175"/>
      <c r="D45" s="208"/>
      <c r="E45" s="208"/>
      <c r="F45" s="208"/>
    </row>
    <row r="46" spans="1:6" ht="15.75" thickBot="1">
      <c r="A46" s="200" t="s">
        <v>228</v>
      </c>
      <c r="B46" s="203">
        <v>0</v>
      </c>
      <c r="C46" s="175"/>
      <c r="D46" s="208"/>
      <c r="E46" s="208"/>
      <c r="F46" s="208"/>
    </row>
    <row r="47" spans="1:6" ht="15.75" thickBot="1">
      <c r="A47" s="200" t="s">
        <v>229</v>
      </c>
      <c r="B47" s="204">
        <f>+B45-B46</f>
        <v>0</v>
      </c>
      <c r="C47" s="175"/>
      <c r="D47" s="208"/>
      <c r="E47" s="208"/>
      <c r="F47" s="208"/>
    </row>
    <row r="48" spans="1:6" ht="15">
      <c r="A48" s="165"/>
      <c r="B48" s="173"/>
      <c r="C48" s="175"/>
      <c r="D48" s="208"/>
      <c r="E48" s="208"/>
      <c r="F48" s="208"/>
    </row>
    <row r="49" spans="1:6" ht="15">
      <c r="A49" s="161" t="s">
        <v>164</v>
      </c>
      <c r="B49" s="173"/>
      <c r="C49" s="173"/>
      <c r="D49" s="183"/>
      <c r="E49" s="183"/>
      <c r="F49" s="183"/>
    </row>
    <row r="50" spans="1:6" ht="15">
      <c r="A50" s="159" t="s">
        <v>260</v>
      </c>
      <c r="B50" s="245">
        <v>50000</v>
      </c>
      <c r="C50" s="173"/>
      <c r="D50" s="183"/>
      <c r="E50" s="183"/>
      <c r="F50" s="183"/>
    </row>
    <row r="51" spans="1:6" ht="15">
      <c r="A51" s="159" t="s">
        <v>261</v>
      </c>
      <c r="B51" s="173">
        <v>0</v>
      </c>
      <c r="C51" s="173"/>
      <c r="D51" s="183"/>
      <c r="E51" s="183"/>
      <c r="F51" s="183"/>
    </row>
    <row r="52" spans="1:6" ht="15">
      <c r="A52" s="159" t="s">
        <v>262</v>
      </c>
      <c r="B52" s="173">
        <v>0</v>
      </c>
      <c r="C52" s="173"/>
      <c r="D52" s="183"/>
      <c r="E52" s="183"/>
      <c r="F52" s="183"/>
    </row>
    <row r="53" spans="1:10" ht="15">
      <c r="A53" s="159" t="s">
        <v>262</v>
      </c>
      <c r="B53" s="174">
        <v>0</v>
      </c>
      <c r="C53" s="173"/>
      <c r="D53" s="183"/>
      <c r="E53" s="183"/>
      <c r="F53" s="183"/>
      <c r="J53" s="166"/>
    </row>
    <row r="54" spans="1:6" ht="15">
      <c r="A54" s="159"/>
      <c r="B54" s="175">
        <f>MIN(SUM(B50:B53),100000)</f>
        <v>50000</v>
      </c>
      <c r="C54" s="173"/>
      <c r="D54" s="183"/>
      <c r="E54" s="183"/>
      <c r="F54" s="183"/>
    </row>
    <row r="55" spans="1:6" ht="15">
      <c r="A55" s="159" t="s">
        <v>183</v>
      </c>
      <c r="B55" s="173">
        <v>0</v>
      </c>
      <c r="C55" s="173">
        <v>0</v>
      </c>
      <c r="D55" s="183"/>
      <c r="E55" s="183"/>
      <c r="F55" s="183"/>
    </row>
    <row r="56" spans="1:6" ht="15">
      <c r="A56" s="159" t="s">
        <v>285</v>
      </c>
      <c r="B56" s="245">
        <v>0</v>
      </c>
      <c r="C56" s="173"/>
      <c r="D56" s="183"/>
      <c r="E56" s="183"/>
      <c r="F56" s="183"/>
    </row>
    <row r="57" spans="1:6" ht="15.75" thickBot="1">
      <c r="A57" s="159" t="s">
        <v>268</v>
      </c>
      <c r="B57" s="246">
        <v>0</v>
      </c>
      <c r="C57" s="174">
        <f>+SUM(B54:B57)</f>
        <v>50000</v>
      </c>
      <c r="D57" s="183"/>
      <c r="E57" s="183"/>
      <c r="F57" s="183"/>
    </row>
    <row r="58" spans="1:6" ht="15.75" thickBot="1">
      <c r="A58" s="207" t="s">
        <v>234</v>
      </c>
      <c r="B58" s="176"/>
      <c r="C58" s="249">
        <v>300000</v>
      </c>
      <c r="D58" s="208"/>
      <c r="E58" s="208"/>
      <c r="F58" s="208"/>
    </row>
    <row r="59" spans="1:6" ht="15.75" thickBot="1">
      <c r="A59" s="207"/>
      <c r="B59" s="176"/>
      <c r="C59" s="208"/>
      <c r="D59" s="208"/>
      <c r="E59" s="208"/>
      <c r="F59" s="208"/>
    </row>
    <row r="60" spans="1:6" ht="15.75" thickBot="1">
      <c r="A60" s="207" t="s">
        <v>235</v>
      </c>
      <c r="B60" s="219"/>
      <c r="C60" s="209">
        <f>C58+B47+B42</f>
        <v>300000</v>
      </c>
      <c r="D60" s="214"/>
      <c r="E60" s="214"/>
      <c r="F60" s="214"/>
    </row>
    <row r="61" spans="1:10" ht="6.75" customHeight="1">
      <c r="A61" s="362" t="s">
        <v>247</v>
      </c>
      <c r="B61" s="363"/>
      <c r="C61" s="364"/>
      <c r="D61" s="157"/>
      <c r="E61" s="157"/>
      <c r="F61" s="157"/>
      <c r="H61" s="365" t="s">
        <v>214</v>
      </c>
      <c r="I61" s="365"/>
      <c r="J61" s="365"/>
    </row>
    <row r="62" spans="1:11" ht="15">
      <c r="A62" s="197" t="s">
        <v>237</v>
      </c>
      <c r="B62" s="219"/>
      <c r="C62" s="178">
        <f>ROUND(IF(C5="M",IF(C58&lt;200000,0,IF(C58&lt;500000,((C58-200000)*0.1),IF(C58&lt;800000,(((C58-500000)*0.2)+30000),(((C58-800000)*0.3)+90000)))),IF(C5="F",IF(C58&lt;200000,0,IF(C58&lt;500000,((C58-200000)*0.1),IF(C58&lt;800000,(((C58-500000)*0.2)+30000),(((C58-800000)*0.3)+90000)))),"Please enter sex in data sheet")),0)</f>
        <v>10000</v>
      </c>
      <c r="D62" s="184"/>
      <c r="E62" s="184"/>
      <c r="F62" s="184"/>
      <c r="G62" s="190"/>
      <c r="H62" s="188">
        <v>42248</v>
      </c>
      <c r="I62" s="188">
        <v>42339</v>
      </c>
      <c r="J62" s="188">
        <v>42064</v>
      </c>
      <c r="K62" s="168" t="s">
        <v>45</v>
      </c>
    </row>
    <row r="63" spans="1:16" ht="15">
      <c r="A63" s="197" t="s">
        <v>239</v>
      </c>
      <c r="B63" s="219"/>
      <c r="C63" s="178">
        <f>ROUND(B42*0.15,0)</f>
        <v>0</v>
      </c>
      <c r="D63" s="184"/>
      <c r="E63" s="184"/>
      <c r="F63" s="184"/>
      <c r="G63" s="190"/>
      <c r="H63" s="188"/>
      <c r="I63" s="188"/>
      <c r="J63" s="188"/>
      <c r="K63" s="168"/>
      <c r="P63" s="218"/>
    </row>
    <row r="64" spans="1:11" ht="15">
      <c r="A64" s="217" t="s">
        <v>244</v>
      </c>
      <c r="B64" s="197"/>
      <c r="C64" s="179">
        <f>ROUND(B47*0.2,0)</f>
        <v>0</v>
      </c>
      <c r="D64" s="184"/>
      <c r="E64" s="184"/>
      <c r="F64" s="184"/>
      <c r="G64" s="190"/>
      <c r="H64" s="188"/>
      <c r="I64" s="188"/>
      <c r="J64" s="188"/>
      <c r="K64" s="168"/>
    </row>
    <row r="65" spans="1:11" ht="15">
      <c r="A65" s="159"/>
      <c r="B65" s="178"/>
      <c r="C65" s="178">
        <f>SUM(C62:C64)</f>
        <v>10000</v>
      </c>
      <c r="D65" s="184"/>
      <c r="E65" s="184"/>
      <c r="F65" s="184"/>
      <c r="G65" s="190"/>
      <c r="H65" s="188"/>
      <c r="I65" s="188"/>
      <c r="J65" s="188"/>
      <c r="K65" s="168"/>
    </row>
    <row r="66" spans="1:11" ht="15">
      <c r="A66" s="159" t="s">
        <v>178</v>
      </c>
      <c r="B66" s="178"/>
      <c r="C66" s="179">
        <v>0</v>
      </c>
      <c r="D66" s="184"/>
      <c r="E66" s="184"/>
      <c r="F66" s="184"/>
      <c r="H66" s="167"/>
      <c r="I66" s="167"/>
      <c r="J66" s="167"/>
      <c r="K66" s="168"/>
    </row>
    <row r="67" spans="1:11" ht="15">
      <c r="A67" s="159"/>
      <c r="B67" s="178"/>
      <c r="C67" s="178">
        <f>+C66+C65</f>
        <v>10000</v>
      </c>
      <c r="D67" s="184"/>
      <c r="E67" s="184"/>
      <c r="F67" s="184"/>
      <c r="H67" s="167"/>
      <c r="I67" s="167"/>
      <c r="J67" s="167"/>
      <c r="K67" s="168"/>
    </row>
    <row r="68" spans="1:11" ht="15">
      <c r="A68" s="159" t="s">
        <v>167</v>
      </c>
      <c r="B68" s="178"/>
      <c r="C68" s="179">
        <f>ROUND(C67*0.03,0)</f>
        <v>300</v>
      </c>
      <c r="D68" s="184"/>
      <c r="E68" s="184"/>
      <c r="F68" s="184"/>
      <c r="G68" s="169" t="s">
        <v>173</v>
      </c>
      <c r="H68" s="158">
        <v>5000</v>
      </c>
      <c r="I68" s="158">
        <f>H68+4000</f>
        <v>9000</v>
      </c>
      <c r="J68" s="158">
        <f>I68+3000</f>
        <v>12000</v>
      </c>
      <c r="K68" s="158">
        <f>+C72-J68</f>
        <v>-8405</v>
      </c>
    </row>
    <row r="69" spans="1:10" ht="15">
      <c r="A69" s="159"/>
      <c r="B69" s="237"/>
      <c r="C69" s="180">
        <f>+C68+C67</f>
        <v>10300</v>
      </c>
      <c r="D69" s="215"/>
      <c r="E69" s="215"/>
      <c r="F69" s="215"/>
      <c r="G69" s="169" t="s">
        <v>174</v>
      </c>
      <c r="H69" s="170">
        <v>0.3</v>
      </c>
      <c r="I69" s="170">
        <v>0.6</v>
      </c>
      <c r="J69" s="170">
        <v>1</v>
      </c>
    </row>
    <row r="70" spans="1:10" ht="15">
      <c r="A70" s="159" t="s">
        <v>199</v>
      </c>
      <c r="B70" s="178"/>
      <c r="C70" s="179">
        <v>0</v>
      </c>
      <c r="D70" s="184"/>
      <c r="E70" s="184"/>
      <c r="F70" s="184"/>
      <c r="G70" s="169" t="s">
        <v>27</v>
      </c>
      <c r="H70" s="184">
        <f>+C69*H69</f>
        <v>3090</v>
      </c>
      <c r="I70" s="184">
        <f>+C69*I69</f>
        <v>6180</v>
      </c>
      <c r="J70" s="184">
        <f>+C69*J69</f>
        <v>10300</v>
      </c>
    </row>
    <row r="71" spans="1:10" ht="15">
      <c r="A71" s="159"/>
      <c r="B71" s="178"/>
      <c r="C71" s="180">
        <f>+C69-C70</f>
        <v>10300</v>
      </c>
      <c r="D71" s="215"/>
      <c r="E71" s="215"/>
      <c r="F71" s="215"/>
      <c r="G71" s="169" t="s">
        <v>176</v>
      </c>
      <c r="H71" s="184">
        <f>+IF(H68&gt;H70,0,H70-H68)</f>
        <v>0</v>
      </c>
      <c r="I71" s="184">
        <f>+IF(I68&gt;I70,0,I70-I68)</f>
        <v>0</v>
      </c>
      <c r="J71" s="184">
        <f>+IF(J68&gt;J70,0,J70-J68)</f>
        <v>0</v>
      </c>
    </row>
    <row r="72" spans="1:7" ht="15">
      <c r="A72" s="159" t="s">
        <v>166</v>
      </c>
      <c r="B72" s="237"/>
      <c r="C72" s="248">
        <v>3595</v>
      </c>
      <c r="D72" s="184"/>
      <c r="E72" s="184"/>
      <c r="F72" s="184"/>
      <c r="G72" s="169"/>
    </row>
    <row r="73" spans="1:11" ht="15">
      <c r="A73" s="159" t="s">
        <v>271</v>
      </c>
      <c r="B73" s="238">
        <f>0-B72</f>
        <v>0</v>
      </c>
      <c r="C73" s="180">
        <f>+C71-C72</f>
        <v>6705</v>
      </c>
      <c r="D73" s="215"/>
      <c r="E73" s="215"/>
      <c r="F73" s="215"/>
      <c r="G73" s="169" t="s">
        <v>175</v>
      </c>
      <c r="H73" s="158">
        <f>+(H71*0.01)*3</f>
        <v>0</v>
      </c>
      <c r="I73" s="183">
        <f>+(I71*0.01)*3</f>
        <v>0</v>
      </c>
      <c r="J73" s="183">
        <f>+(J71*0.01)*1</f>
        <v>0</v>
      </c>
      <c r="K73" s="183">
        <f>+J73+I73+H73</f>
        <v>0</v>
      </c>
    </row>
    <row r="74" spans="1:6" ht="15">
      <c r="A74" s="159" t="s">
        <v>190</v>
      </c>
      <c r="B74" s="178"/>
      <c r="C74" s="178">
        <f>+ROUND(IF(C73&gt;0,C73*0%,0),0)</f>
        <v>0</v>
      </c>
      <c r="D74" s="184"/>
      <c r="E74" s="184"/>
      <c r="F74" s="184"/>
    </row>
    <row r="75" spans="1:10" ht="15">
      <c r="A75" s="159" t="s">
        <v>168</v>
      </c>
      <c r="B75" s="178"/>
      <c r="C75" s="178">
        <f>ROUND(IF(J75&lt;0.9,IF(J75&gt;0,IF(C69&gt;10000,(C73*0.01)*3,0))),0)</f>
        <v>201</v>
      </c>
      <c r="D75" s="216"/>
      <c r="E75" s="216"/>
      <c r="F75" s="216"/>
      <c r="G75" s="355" t="s">
        <v>215</v>
      </c>
      <c r="H75" s="356"/>
      <c r="I75" s="356"/>
      <c r="J75" s="191">
        <f>+IF(C69&gt;0,C72/C69,0)</f>
        <v>0.3490291262135922</v>
      </c>
    </row>
    <row r="76" spans="1:7" ht="15">
      <c r="A76" s="159" t="s">
        <v>169</v>
      </c>
      <c r="B76" s="178"/>
      <c r="C76" s="179">
        <f>+ROUND(IF(C73&gt;10000,IF(C73&gt;0,C73*3.7%,0)),0)</f>
        <v>0</v>
      </c>
      <c r="D76" s="184"/>
      <c r="E76" s="184"/>
      <c r="F76" s="184"/>
      <c r="G76" s="189"/>
    </row>
    <row r="77" spans="1:6" ht="15">
      <c r="A77" s="159" t="s">
        <v>170</v>
      </c>
      <c r="B77" s="178"/>
      <c r="C77" s="180">
        <f>ROUND(SUM(C73:C76),0)</f>
        <v>6906</v>
      </c>
      <c r="D77" s="215"/>
      <c r="E77" s="215"/>
      <c r="F77" s="215"/>
    </row>
    <row r="78" spans="1:6" ht="15">
      <c r="A78" s="159" t="s">
        <v>171</v>
      </c>
      <c r="B78" s="178"/>
      <c r="C78" s="181">
        <f>+IF(C77&gt;0,C77,0)</f>
        <v>6906</v>
      </c>
      <c r="D78" s="215"/>
      <c r="E78" s="215"/>
      <c r="F78" s="215"/>
    </row>
    <row r="79" spans="1:7" ht="15">
      <c r="A79" s="171" t="s">
        <v>172</v>
      </c>
      <c r="B79" s="179"/>
      <c r="C79" s="181">
        <f>+C77-C78</f>
        <v>0</v>
      </c>
      <c r="D79" s="215"/>
      <c r="E79" s="215"/>
      <c r="F79" s="215"/>
      <c r="G79" s="185"/>
    </row>
    <row r="80" ht="15">
      <c r="A80" s="169"/>
    </row>
    <row r="82" ht="15">
      <c r="A82" s="167" t="s">
        <v>200</v>
      </c>
    </row>
    <row r="83" spans="1:6" ht="15">
      <c r="A83" s="158" t="s">
        <v>192</v>
      </c>
      <c r="C83" s="172">
        <v>0</v>
      </c>
      <c r="D83" s="172"/>
      <c r="E83" s="172"/>
      <c r="F83" s="172"/>
    </row>
    <row r="84" spans="1:6" ht="15">
      <c r="A84" s="158" t="s">
        <v>194</v>
      </c>
      <c r="C84" s="172">
        <v>0</v>
      </c>
      <c r="D84" s="172"/>
      <c r="E84" s="172"/>
      <c r="F84" s="172"/>
    </row>
    <row r="85" ht="15">
      <c r="A85" s="158" t="s">
        <v>196</v>
      </c>
    </row>
    <row r="86" spans="1:6" ht="15">
      <c r="A86" s="158" t="s">
        <v>197</v>
      </c>
      <c r="C86" s="169">
        <v>0</v>
      </c>
      <c r="D86" s="169"/>
      <c r="E86" s="169"/>
      <c r="F86" s="169"/>
    </row>
    <row r="87" ht="15" hidden="1"/>
    <row r="88" ht="15" hidden="1"/>
    <row r="89" ht="15" hidden="1"/>
    <row r="90" ht="15" hidden="1"/>
    <row r="91" ht="15" hidden="1"/>
    <row r="92" ht="15" hidden="1"/>
    <row r="93" ht="15" hidden="1"/>
    <row r="94" ht="15" hidden="1"/>
    <row r="95" ht="15" hidden="1"/>
    <row r="96" ht="15" hidden="1"/>
    <row r="97" spans="1:4" ht="15" hidden="1">
      <c r="A97"/>
      <c r="B97"/>
      <c r="C97"/>
      <c r="D97"/>
    </row>
    <row r="98" spans="1:7" ht="15">
      <c r="A98"/>
      <c r="B98"/>
      <c r="C98"/>
      <c r="D98"/>
      <c r="G98" s="183"/>
    </row>
    <row r="99" spans="1:4" ht="15">
      <c r="A99" s="229" t="s">
        <v>263</v>
      </c>
      <c r="B99" s="230" t="s">
        <v>250</v>
      </c>
      <c r="C99" s="231">
        <v>0</v>
      </c>
      <c r="D99"/>
    </row>
    <row r="100" spans="1:4" ht="15">
      <c r="A100" s="223" t="s">
        <v>264</v>
      </c>
      <c r="B100" s="232" t="s">
        <v>251</v>
      </c>
      <c r="C100" s="233">
        <v>0</v>
      </c>
      <c r="D100"/>
    </row>
    <row r="101" spans="1:4" ht="15">
      <c r="A101" s="224" t="s">
        <v>265</v>
      </c>
      <c r="B101" s="232" t="s">
        <v>252</v>
      </c>
      <c r="C101" s="233">
        <v>0</v>
      </c>
      <c r="D101"/>
    </row>
    <row r="102" spans="1:4" ht="15">
      <c r="A102" s="159"/>
      <c r="B102" s="232"/>
      <c r="C102" s="233"/>
      <c r="D102"/>
    </row>
    <row r="103" spans="1:4" ht="15">
      <c r="A103" s="224" t="s">
        <v>290</v>
      </c>
      <c r="B103" s="234" t="s">
        <v>253</v>
      </c>
      <c r="C103" s="233"/>
      <c r="D103"/>
    </row>
    <row r="104" spans="1:4" ht="15">
      <c r="A104" s="225" t="s">
        <v>266</v>
      </c>
      <c r="B104" s="232" t="s">
        <v>254</v>
      </c>
      <c r="C104" s="233">
        <f>C100</f>
        <v>0</v>
      </c>
      <c r="D104"/>
    </row>
    <row r="105" spans="1:4" ht="15">
      <c r="A105" s="226">
        <f>C73/103%</f>
        <v>6509.708737864077</v>
      </c>
      <c r="B105" s="232" t="s">
        <v>255</v>
      </c>
      <c r="C105" s="233">
        <f>C99*40%</f>
        <v>0</v>
      </c>
      <c r="D105"/>
    </row>
    <row r="106" spans="1:4" ht="15">
      <c r="A106" s="225" t="s">
        <v>267</v>
      </c>
      <c r="B106" s="232" t="s">
        <v>256</v>
      </c>
      <c r="C106" s="233">
        <f>C101-(C99*0.1)</f>
        <v>0</v>
      </c>
      <c r="D106"/>
    </row>
    <row r="107" spans="1:4" ht="15">
      <c r="A107" s="227"/>
      <c r="B107" s="232"/>
      <c r="C107" s="233"/>
      <c r="D107"/>
    </row>
    <row r="108" spans="1:4" ht="15">
      <c r="A108" s="226">
        <f>A105*3%</f>
        <v>195.2912621359223</v>
      </c>
      <c r="B108" s="484">
        <f>MIN(C106,C105,C104)</f>
        <v>0</v>
      </c>
      <c r="C108" s="485"/>
      <c r="D108"/>
    </row>
    <row r="109" spans="1:4" ht="15">
      <c r="A109" s="225" t="s">
        <v>175</v>
      </c>
      <c r="B109" s="484"/>
      <c r="C109" s="485"/>
      <c r="D109"/>
    </row>
    <row r="110" spans="1:4" ht="15">
      <c r="A110" s="228">
        <f>C76+C75+C74</f>
        <v>201</v>
      </c>
      <c r="B110" s="235"/>
      <c r="C110" s="236"/>
      <c r="D110"/>
    </row>
    <row r="111" spans="2:4" ht="15">
      <c r="B111"/>
      <c r="C111"/>
      <c r="D111"/>
    </row>
    <row r="112" spans="1:4" ht="15">
      <c r="A112"/>
      <c r="B112"/>
      <c r="C112"/>
      <c r="D112"/>
    </row>
    <row r="113" spans="1:4" ht="15">
      <c r="A113"/>
      <c r="B113"/>
      <c r="C113"/>
      <c r="D113"/>
    </row>
    <row r="114" ht="15" customHeight="1">
      <c r="B114" s="158">
        <f>ROUND(217,-1)</f>
        <v>220</v>
      </c>
    </row>
    <row r="121" spans="2:3" ht="15" customHeight="1">
      <c r="B121" s="271">
        <v>33706</v>
      </c>
      <c r="C121" s="158">
        <f ca="1">DATEDIF(B121,TODAY(),"y")</f>
        <v>21</v>
      </c>
    </row>
    <row r="122" spans="2:3" ht="15" customHeight="1">
      <c r="B122" s="271">
        <v>33706</v>
      </c>
      <c r="C122" s="158">
        <f ca="1">DATEDIF(B122,TODAY(),"ym")</f>
        <v>3</v>
      </c>
    </row>
    <row r="124" spans="2:3" ht="15">
      <c r="B124" s="158">
        <v>6000</v>
      </c>
      <c r="C124" s="158">
        <f>B124*7</f>
        <v>42000</v>
      </c>
    </row>
    <row r="125" ht="15">
      <c r="C125" s="158">
        <f>79467*10%</f>
        <v>7946.700000000001</v>
      </c>
    </row>
    <row r="126" spans="2:3" ht="15">
      <c r="B126" s="158" t="s">
        <v>248</v>
      </c>
      <c r="C126" s="158">
        <f>C124-C125</f>
        <v>34053.3</v>
      </c>
    </row>
    <row r="127" spans="2:3" ht="15">
      <c r="B127" s="158" t="s">
        <v>249</v>
      </c>
      <c r="C127" s="158">
        <f>C125*10*40%</f>
        <v>31786.800000000003</v>
      </c>
    </row>
  </sheetData>
  <sheetProtection/>
  <mergeCells count="10">
    <mergeCell ref="A61:C61"/>
    <mergeCell ref="H61:J61"/>
    <mergeCell ref="G75:I75"/>
    <mergeCell ref="B108:C109"/>
    <mergeCell ref="A1:C1"/>
    <mergeCell ref="A2:A3"/>
    <mergeCell ref="B2:B3"/>
    <mergeCell ref="C2:C3"/>
    <mergeCell ref="G3:I10"/>
    <mergeCell ref="J3:K10"/>
  </mergeCells>
  <dataValidations count="1">
    <dataValidation type="list" allowBlank="1" showInputMessage="1" showErrorMessage="1" sqref="C5">
      <formula1>"M,F,S"</formula1>
    </dataValidation>
  </dataValidations>
  <hyperlinks>
    <hyperlink ref="A100" r:id="rId1" display="www.incometaxindia.gov.in"/>
  </hyperlinks>
  <printOptions/>
  <pageMargins left="0.29" right="0.36" top="0.42" bottom="0.41" header="0.23" footer="0.26"/>
  <pageSetup horizontalDpi="600" verticalDpi="600" orientation="portrait" paperSize="9" r:id="rId2"/>
</worksheet>
</file>

<file path=xl/worksheets/sheet7.xml><?xml version="1.0" encoding="utf-8"?>
<worksheet xmlns="http://schemas.openxmlformats.org/spreadsheetml/2006/main" xmlns:r="http://schemas.openxmlformats.org/officeDocument/2006/relationships">
  <dimension ref="A1:E12"/>
  <sheetViews>
    <sheetView zoomScalePageLayoutView="0" workbookViewId="0" topLeftCell="A1">
      <selection activeCell="F14" sqref="F14"/>
    </sheetView>
  </sheetViews>
  <sheetFormatPr defaultColWidth="9.140625" defaultRowHeight="12.75"/>
  <cols>
    <col min="1" max="1" width="20.7109375" style="0" bestFit="1" customWidth="1"/>
    <col min="3" max="3" width="11.28125" style="0" bestFit="1" customWidth="1"/>
    <col min="4" max="4" width="10.421875" style="0" bestFit="1" customWidth="1"/>
    <col min="5" max="5" width="12.8515625" style="0" bestFit="1" customWidth="1"/>
  </cols>
  <sheetData>
    <row r="1" ht="12.75">
      <c r="A1" s="94" t="s">
        <v>324</v>
      </c>
    </row>
    <row r="2" ht="15">
      <c r="A2" s="349" t="s">
        <v>316</v>
      </c>
    </row>
    <row r="3" spans="1:5" ht="15">
      <c r="A3" s="350" t="s">
        <v>317</v>
      </c>
      <c r="B3" s="350" t="s">
        <v>318</v>
      </c>
      <c r="C3" s="350" t="s">
        <v>319</v>
      </c>
      <c r="D3" s="350" t="s">
        <v>320</v>
      </c>
      <c r="E3" s="350" t="s">
        <v>321</v>
      </c>
    </row>
    <row r="4" spans="1:5" ht="12.75">
      <c r="A4" s="156">
        <v>15.78</v>
      </c>
      <c r="B4" s="156">
        <v>51</v>
      </c>
      <c r="C4" s="156">
        <f>A4*B4</f>
        <v>804.78</v>
      </c>
      <c r="D4" s="156">
        <v>49.9315</v>
      </c>
      <c r="E4" s="351">
        <f>C4*D4</f>
        <v>40183.87257</v>
      </c>
    </row>
    <row r="5" spans="1:5" ht="12.75">
      <c r="A5" s="156">
        <v>16.32</v>
      </c>
      <c r="B5" s="156">
        <v>34</v>
      </c>
      <c r="C5" s="156">
        <f>A5*B5</f>
        <v>554.88</v>
      </c>
      <c r="D5" s="156">
        <v>49.9315</v>
      </c>
      <c r="E5" s="351">
        <f>C5*D5</f>
        <v>27705.990719999998</v>
      </c>
    </row>
    <row r="6" ht="15">
      <c r="E6" s="353">
        <f>SUM(E4:E5)</f>
        <v>67889.86329</v>
      </c>
    </row>
    <row r="7" ht="15">
      <c r="A7" s="349" t="s">
        <v>322</v>
      </c>
    </row>
    <row r="8" spans="1:5" ht="15">
      <c r="A8" s="350" t="s">
        <v>317</v>
      </c>
      <c r="B8" s="350" t="s">
        <v>318</v>
      </c>
      <c r="C8" s="350" t="s">
        <v>319</v>
      </c>
      <c r="D8" s="350" t="s">
        <v>320</v>
      </c>
      <c r="E8" s="350" t="s">
        <v>321</v>
      </c>
    </row>
    <row r="9" spans="1:5" ht="12.75">
      <c r="A9" s="156">
        <v>19.5</v>
      </c>
      <c r="B9" s="156">
        <v>51</v>
      </c>
      <c r="C9" s="156">
        <f>A9*B9</f>
        <v>994.5</v>
      </c>
      <c r="D9" s="156">
        <v>54.3962</v>
      </c>
      <c r="E9" s="351">
        <f>C9*D9</f>
        <v>54097.0209</v>
      </c>
    </row>
    <row r="10" spans="1:5" ht="12.75">
      <c r="A10" s="156">
        <v>19.5</v>
      </c>
      <c r="B10" s="156">
        <v>34</v>
      </c>
      <c r="C10" s="156">
        <f>A10*B10</f>
        <v>663</v>
      </c>
      <c r="D10" s="156">
        <v>54.3962</v>
      </c>
      <c r="E10" s="351">
        <f>C10*D10</f>
        <v>36064.6806</v>
      </c>
    </row>
    <row r="11" spans="1:5" ht="15">
      <c r="A11" s="156"/>
      <c r="B11" s="156"/>
      <c r="C11" s="156"/>
      <c r="D11" s="156"/>
      <c r="E11" s="352">
        <f>SUM(E9:E10)</f>
        <v>90161.7015</v>
      </c>
    </row>
    <row r="12" spans="1:5" ht="15">
      <c r="A12" s="94" t="s">
        <v>323</v>
      </c>
      <c r="E12" s="353">
        <f>E11-E6</f>
        <v>22271.83821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Prasad</dc:creator>
  <cp:keywords/>
  <dc:description/>
  <cp:lastModifiedBy>nagaraj a.</cp:lastModifiedBy>
  <cp:lastPrinted>2013-06-30T13:30:53Z</cp:lastPrinted>
  <dcterms:created xsi:type="dcterms:W3CDTF">2006-06-29T15:19:33Z</dcterms:created>
  <dcterms:modified xsi:type="dcterms:W3CDTF">2013-08-06T12:11:02Z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